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activeTab="5"/>
  </bookViews>
  <sheets>
    <sheet name="1.2024年三亚市一般公共预算收支表 " sheetId="1" r:id="rId1"/>
    <sheet name="2.2024年三亚市政府性基金预算收支表 " sheetId="2" r:id="rId2"/>
    <sheet name="3.2024年三亚市市本级一般公共预算收支表" sheetId="3" r:id="rId3"/>
    <sheet name="4.2024年三亚市市本级政府性基金预算收支表" sheetId="4" r:id="rId4"/>
    <sheet name="5.第三批专项债项目调整明细表" sheetId="5" r:id="rId5"/>
    <sheet name="6.第二批专项债项目调整明细表" sheetId="6" r:id="rId6"/>
  </sheets>
  <externalReferences>
    <externalReference r:id="rId7"/>
    <externalReference r:id="rId8"/>
    <externalReference r:id="rId9"/>
  </externalReferences>
  <definedNames>
    <definedName name="__xlfn.COUNTIFS" hidden="1">#NAME?</definedName>
    <definedName name="_xlnm.Print_Area" hidden="1">#N/A</definedName>
    <definedName name="_xlnm.Print_Titles" hidden="1">#N/A</definedName>
    <definedName name="任务分类">[1]任务!$A$1:$A$10</definedName>
    <definedName name="mhj">#N/A</definedName>
    <definedName name="Print_Area_MI">#REF!</definedName>
    <definedName name="大多数">'[2]13 铁路配件'!$A$15</definedName>
    <definedName name="地区名称">#REF!</definedName>
    <definedName name="饿">#REF!</definedName>
    <definedName name="飞过海">'[3]20 运输公司'!$C$4</definedName>
    <definedName name="我">#N/A</definedName>
    <definedName name="주택사업본부">#REF!</definedName>
    <definedName name="철구사업본부">#REF!</definedName>
    <definedName name="Database" hidden="1">#REF!</definedName>
    <definedName name="洋10">#REF!</definedName>
    <definedName name="吗">#REF!</definedName>
    <definedName name="A">#REF!</definedName>
    <definedName name="S">#REF!</definedName>
    <definedName name="AAA">#N/A</definedName>
    <definedName name="_xlnm._FilterDatabase" localSheetId="0" hidden="1">'1.2024年三亚市一般公共预算收支表 '!$A$6:$H$68</definedName>
    <definedName name="_xlnm.Print_Titles" localSheetId="0">'1.2024年三亚市一般公共预算收支表 '!$1:$6</definedName>
    <definedName name="_xlnm._FilterDatabase" localSheetId="1" hidden="1">'2.2024年三亚市政府性基金预算收支表 '!$A$6:$H$71</definedName>
    <definedName name="_xlnm.Print_Titles" localSheetId="1">'2.2024年三亚市政府性基金预算收支表 '!$1:$6</definedName>
    <definedName name="_xlnm._FilterDatabase" localSheetId="3" hidden="1">'4.2024年三亚市市本级政府性基金预算收支表'!$A$6:$H$76</definedName>
    <definedName name="_xlnm.Print_Titles" localSheetId="3">'4.2024年三亚市市本级政府性基金预算收支表'!$1:$6</definedName>
    <definedName name="_xlnm._FilterDatabase" localSheetId="2" hidden="1">'3.2024年三亚市市本级一般公共预算收支表'!$A$6:$H$71</definedName>
    <definedName name="_xlnm.Print_Titles" localSheetId="2">'3.2024年三亚市市本级一般公共预算收支表'!$1:$6</definedName>
    <definedName name="_xlnm.Print_Titles" localSheetId="4">'5.第三批专项债项目调整明细表'!$4:$4</definedName>
    <definedName name="_xlnm.Print_Titles" localSheetId="5">'6.第二批专项债项目调整明细表'!$4:$4</definedName>
  </definedNames>
  <calcPr calcId="144525" concurrentCalc="0"/>
</workbook>
</file>

<file path=xl/sharedStrings.xml><?xml version="1.0" encoding="utf-8"?>
<sst xmlns="http://schemas.openxmlformats.org/spreadsheetml/2006/main" count="375">
  <si>
    <t>附件1</t>
  </si>
  <si>
    <t>2024年三亚市一般公共预算收支调整表</t>
  </si>
  <si>
    <t>金额单位：万元</t>
  </si>
  <si>
    <t>收                            入</t>
  </si>
  <si>
    <t>支                       出</t>
  </si>
  <si>
    <t>项              目</t>
  </si>
  <si>
    <t>2023年预算数</t>
  </si>
  <si>
    <t>2023年预算调整数</t>
  </si>
  <si>
    <t>2023年执行数</t>
  </si>
  <si>
    <t>2024年度预算数</t>
  </si>
  <si>
    <t>2024年调整预算数</t>
  </si>
  <si>
    <t>调整后比年度预算增减额</t>
  </si>
  <si>
    <t>调整后完成年度预算%</t>
  </si>
  <si>
    <t>项        目</t>
  </si>
  <si>
    <t>一、地方一般公共预算收入</t>
  </si>
  <si>
    <t>一、地方一般公共预算支出</t>
  </si>
  <si>
    <t>（一）税收收入</t>
  </si>
  <si>
    <t>（一）一般公共服务支出</t>
  </si>
  <si>
    <t>1.增值税</t>
  </si>
  <si>
    <t>（二）外交支出</t>
  </si>
  <si>
    <t>2.企业所得税</t>
  </si>
  <si>
    <t>（三）国防支出</t>
  </si>
  <si>
    <t>3.个人所得税</t>
  </si>
  <si>
    <t>（四）公共安全支出</t>
  </si>
  <si>
    <t>4.资源税</t>
  </si>
  <si>
    <t>（五）教育支出</t>
  </si>
  <si>
    <t>5.城市维护建设税</t>
  </si>
  <si>
    <t>（六）科学技术支出</t>
  </si>
  <si>
    <t>6.房产税</t>
  </si>
  <si>
    <t>（七）文化旅游体育与传媒支出</t>
  </si>
  <si>
    <t>7.印花税</t>
  </si>
  <si>
    <t>（八）社会保障和就业支出</t>
  </si>
  <si>
    <t>8.城镇土地使用税</t>
  </si>
  <si>
    <t>（九）卫生健康支出</t>
  </si>
  <si>
    <t>9.土地增值税</t>
  </si>
  <si>
    <t>（十）节能环保支出</t>
  </si>
  <si>
    <t>10.车船税</t>
  </si>
  <si>
    <t>（十一）城乡社区支出</t>
  </si>
  <si>
    <t>11.耕地占用税</t>
  </si>
  <si>
    <t>（十二）农林水支出</t>
  </si>
  <si>
    <t>12.契税</t>
  </si>
  <si>
    <t>（十三）交通运输支出</t>
  </si>
  <si>
    <t>13.环境保护税</t>
  </si>
  <si>
    <t>（十四）资源勘探工业信息等支出</t>
  </si>
  <si>
    <t>14.其他税收</t>
  </si>
  <si>
    <t>（十五）商业服务业等支出</t>
  </si>
  <si>
    <t>（二）非税收入</t>
  </si>
  <si>
    <t>（十六）金融支出</t>
  </si>
  <si>
    <t>1.专项收入</t>
  </si>
  <si>
    <t>（十七）自然资源海洋气象等支出</t>
  </si>
  <si>
    <t>2.行政事业性收费收入</t>
  </si>
  <si>
    <t>（十八）住房保障支出</t>
  </si>
  <si>
    <t>3.罚没收入</t>
  </si>
  <si>
    <t>（十九）粮油物资储备支出</t>
  </si>
  <si>
    <t>4.国有资本经营收入</t>
  </si>
  <si>
    <t>（二十）灾害防治及应急管理支出</t>
  </si>
  <si>
    <t>5.国有资源(资产)有偿使用收入</t>
  </si>
  <si>
    <t>（二十一）其他支出</t>
  </si>
  <si>
    <t>6.捐赠收入</t>
  </si>
  <si>
    <t>（二十二）债务付息支出</t>
  </si>
  <si>
    <t>7.政府住房基金收入</t>
  </si>
  <si>
    <t>（二十三）债务发行费用支出</t>
  </si>
  <si>
    <t>8.其他收入</t>
  </si>
  <si>
    <t>二、预备费</t>
  </si>
  <si>
    <t>二、债务转贷收入</t>
  </si>
  <si>
    <t>三、债务还本支出</t>
  </si>
  <si>
    <t>（一）地方政府一般债券转贷收入</t>
  </si>
  <si>
    <t>（一）地方政府一般债券还本支出</t>
  </si>
  <si>
    <t>（二）地方政府向国际组织借款转贷收入</t>
  </si>
  <si>
    <t>（二）地方政府其他一般债务还本支出</t>
  </si>
  <si>
    <t>（三）地方政府其他一般债务转贷收入</t>
  </si>
  <si>
    <t>（四）地方政府再融资债券转贷收入</t>
  </si>
  <si>
    <t>三、转移性收入</t>
  </si>
  <si>
    <t>四、转移性支出</t>
  </si>
  <si>
    <t>（一）上级补助收入</t>
  </si>
  <si>
    <t>（一）上解上级支出</t>
  </si>
  <si>
    <t xml:space="preserve">1.返还性收入 </t>
  </si>
  <si>
    <t>1.体制上解支出</t>
  </si>
  <si>
    <t>（1）所得税基数返还收入</t>
  </si>
  <si>
    <t>2.专项上解支出</t>
  </si>
  <si>
    <t>（2）成品油税费改革税收返还收入</t>
  </si>
  <si>
    <t>（二）援助其他地区支出</t>
  </si>
  <si>
    <t xml:space="preserve">（3）增值税税收返还收入 </t>
  </si>
  <si>
    <t>（三）调出资金</t>
  </si>
  <si>
    <t xml:space="preserve">（4）消费税税收返还收入 </t>
  </si>
  <si>
    <t>（四）安排预算稳定调节基金</t>
  </si>
  <si>
    <t>（5）增值税“五五分享”税收返还收入</t>
  </si>
  <si>
    <t>（五）年终结余结转</t>
  </si>
  <si>
    <t>2.一般性转移支付收入</t>
  </si>
  <si>
    <t>（1）均衡性转移支付收入</t>
  </si>
  <si>
    <t>（2）县级基本财力保障机制奖补资金收入</t>
  </si>
  <si>
    <t>（3）结算补助收入</t>
  </si>
  <si>
    <t>（4）资源枯竭型城市转移支付补助收入</t>
  </si>
  <si>
    <t>（5）产粮（油）大县奖励资金收入</t>
  </si>
  <si>
    <t>（6）重点生态功能区转移支付收入</t>
  </si>
  <si>
    <t>（7）固定数额补助收入</t>
  </si>
  <si>
    <t>（8）革命老区转移支付收入</t>
  </si>
  <si>
    <t>（9）民族地区转移支付收入</t>
  </si>
  <si>
    <t>（10）边境地区转移支付收入</t>
  </si>
  <si>
    <t>（11）欠发达地区转移支付收入</t>
  </si>
  <si>
    <t>（12）共同财政事权转移支付收入</t>
  </si>
  <si>
    <t>（13）增值税留抵退税转移支付收入</t>
  </si>
  <si>
    <t>（14）其他退税减税降费转移支付收入</t>
  </si>
  <si>
    <t>（15）补充县区财力转移支付收入</t>
  </si>
  <si>
    <t>（16）其他一般性转移支付收入</t>
  </si>
  <si>
    <t>3.专项转移支付收入</t>
  </si>
  <si>
    <t>（二）上年结余收入</t>
  </si>
  <si>
    <t>（三）调入资金</t>
  </si>
  <si>
    <t>（四）动用预算稳定调节基金</t>
  </si>
  <si>
    <t>收  入  总  计</t>
  </si>
  <si>
    <t>支  出  总  计</t>
  </si>
  <si>
    <t>附件2</t>
  </si>
  <si>
    <t>2024年三亚市政府性基金预算收支调整表</t>
  </si>
  <si>
    <t>一、地方政府性基金预算收入</t>
  </si>
  <si>
    <t>一、地方政府性基金预算支出</t>
  </si>
  <si>
    <t>（一）海南省高等级公路车辆通行附加费收入</t>
  </si>
  <si>
    <t>（一）文化旅游体育与传媒支出</t>
  </si>
  <si>
    <t>（二）港口建设费收入</t>
  </si>
  <si>
    <t xml:space="preserve">     国家电影事业发展专项资金安排的支出</t>
  </si>
  <si>
    <t>（三）国家电影事业发展专项资金收入</t>
  </si>
  <si>
    <t xml:space="preserve">     旅游发展基金支出</t>
  </si>
  <si>
    <t>（四）国有土地收益基金收入</t>
  </si>
  <si>
    <t>（二）社会保障和就业支出</t>
  </si>
  <si>
    <t>（五）农业土地开发资金收入</t>
  </si>
  <si>
    <t xml:space="preserve">     大中型水库移民后期扶持基金支出</t>
  </si>
  <si>
    <t>（六）国有土地使用权出让收入</t>
  </si>
  <si>
    <t xml:space="preserve">     小型水库移民扶助基金安排的支出</t>
  </si>
  <si>
    <t>（七）大中型水库库区基金收入</t>
  </si>
  <si>
    <t>（三）城乡社区支出</t>
  </si>
  <si>
    <t>（八）彩票公益金收入</t>
  </si>
  <si>
    <t xml:space="preserve">     国有土地使用权出让收入安排的支出</t>
  </si>
  <si>
    <t>（九）城市基础设施配套费收入</t>
  </si>
  <si>
    <t xml:space="preserve">     国有土地收益基金安排的支出</t>
  </si>
  <si>
    <t>（十）小型水库移民扶助基金收入</t>
  </si>
  <si>
    <t xml:space="preserve">     农业土地开发资金安排的支出</t>
  </si>
  <si>
    <t>（十一）国家重大水利工程建设基金收入</t>
  </si>
  <si>
    <t xml:space="preserve">     城市基础设施配套费安排的支出</t>
  </si>
  <si>
    <t>（十二）污水处理费收入</t>
  </si>
  <si>
    <t xml:space="preserve">     污水处理费安排的支出</t>
  </si>
  <si>
    <t>（十三）彩票发行机构和彩票销售机构的业务费用</t>
  </si>
  <si>
    <t xml:space="preserve">     土地储备专项债券收入安排的支出</t>
  </si>
  <si>
    <t>（十四）其他政府性基金收入</t>
  </si>
  <si>
    <t xml:space="preserve">     棚户区改造专项债券收入安排的支出</t>
  </si>
  <si>
    <t>（十五）专项债券对应项目专项收入</t>
  </si>
  <si>
    <t xml:space="preserve">     污水处理费对应专项债务收入安排的支出</t>
  </si>
  <si>
    <t xml:space="preserve">     国有土地使用权出让收入对应专项债务收入安排的支出</t>
  </si>
  <si>
    <t>（四）农林水支出</t>
  </si>
  <si>
    <t xml:space="preserve">     大中型水库库区基金安排的支出</t>
  </si>
  <si>
    <t xml:space="preserve">     国家重大水利工程建设基金安排的支出</t>
  </si>
  <si>
    <t xml:space="preserve">     小型水库移民扶助基金对应专项债务收入安排的支出</t>
  </si>
  <si>
    <t>（五）交通运输支出</t>
  </si>
  <si>
    <t xml:space="preserve">     海南省高等级公路车辆通行附加费安排的支出</t>
  </si>
  <si>
    <t>车辆通行费安排的支出</t>
  </si>
  <si>
    <t xml:space="preserve">     民航发展基金支出</t>
  </si>
  <si>
    <t xml:space="preserve">     海南省高等级公路车辆通行附加费对应专项债务收入安排的支出</t>
  </si>
  <si>
    <t>（六）其他支出</t>
  </si>
  <si>
    <t xml:space="preserve">     其他政府性基金及对应专项债务收入安排的支出</t>
  </si>
  <si>
    <t xml:space="preserve">     彩票发行销售机构业务费安排的支出</t>
  </si>
  <si>
    <t xml:space="preserve">     彩票公益金安排的支出</t>
  </si>
  <si>
    <t xml:space="preserve">（七）地方政府专项债务付息支出  </t>
  </si>
  <si>
    <t xml:space="preserve">     海南省高等级公路车辆通行附加费债务付息支出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</si>
  <si>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</si>
  <si>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</si>
  <si>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</si>
  <si>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</si>
  <si>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其他政府性基金债务付息支出</t>
  </si>
  <si>
    <t>（八）地方政府专项债务发行费用支出</t>
  </si>
  <si>
    <t xml:space="preserve">     海南省高等级公路车辆通行附加费债务发行费用支出</t>
  </si>
  <si>
    <t xml:space="preserve">     国有土地使用权出让金债务发行费用支出</t>
  </si>
  <si>
    <t xml:space="preserve">     土地储备专项债券发行费用支出</t>
  </si>
  <si>
    <t xml:space="preserve">     棚户区改造专项债券发行费用支出</t>
  </si>
  <si>
    <t xml:space="preserve">     其他地方自行试点项目收益专项债券发行费用支出</t>
  </si>
  <si>
    <t xml:space="preserve">     其他政府性基金债务发行费用支出</t>
  </si>
  <si>
    <t>（九）抗疫特别国债安排的支出</t>
  </si>
  <si>
    <t xml:space="preserve">     基础设施建设</t>
  </si>
  <si>
    <t xml:space="preserve">     抗疫相关支出</t>
  </si>
  <si>
    <t>二、债务收入</t>
  </si>
  <si>
    <t>二、债务还本支出</t>
  </si>
  <si>
    <t>（一）海南省高等级公路车辆通行附加费债务收入</t>
  </si>
  <si>
    <t>（一）海南省高等级公路车辆通行附加费债务还本支出</t>
  </si>
  <si>
    <t>（二）国有土地使用权出让金债务收入</t>
  </si>
  <si>
    <t>（二）国有土地使用权出让金债务还本支出</t>
  </si>
  <si>
    <t>（三）土地储备专项债券收入</t>
  </si>
  <si>
    <t>（三）土地储备专项债券还本支出</t>
  </si>
  <si>
    <t>（四）棚户区改造专项债券收入</t>
  </si>
  <si>
    <t>（四）棚户区改造专项债券还本支出</t>
  </si>
  <si>
    <t>（五）其他地方自行试点项目收益专项债券收入</t>
  </si>
  <si>
    <t>（五）其他地方自行试点项目收益专项债券还本支出</t>
  </si>
  <si>
    <t>（六）地方政府再融资债券转贷收入</t>
  </si>
  <si>
    <t>（六）其他政府性基金债务还本支出</t>
  </si>
  <si>
    <t>三、转移性支出</t>
  </si>
  <si>
    <t>（一）政府性基金转移支付收入</t>
  </si>
  <si>
    <t>（一）政府性基金上解支出</t>
  </si>
  <si>
    <t>（二）抗疫特别国债转移支付收入</t>
  </si>
  <si>
    <t>（二）调出资金</t>
  </si>
  <si>
    <t>（三）上年结余收入</t>
  </si>
  <si>
    <t>（三）年终结余结转</t>
  </si>
  <si>
    <t>（四）调入资金</t>
  </si>
  <si>
    <t>附件3</t>
  </si>
  <si>
    <t>2024年三亚市市本级一般公共预算收支调整表</t>
  </si>
  <si>
    <t>（一）补助区级支出</t>
  </si>
  <si>
    <t>1.返还性支出</t>
  </si>
  <si>
    <t>2.一般性转移支付</t>
  </si>
  <si>
    <t>（1）均衡性转移支付支出</t>
  </si>
  <si>
    <t>（2）县级基本财力保障机制奖补资金支出</t>
  </si>
  <si>
    <t>（3）结算补助支出</t>
  </si>
  <si>
    <t>（4）资源枯竭型城市转移支付补助支出</t>
  </si>
  <si>
    <t>（5）产粮（油）大县奖励资金支出</t>
  </si>
  <si>
    <t>（6）重点生态功能区转移支付支出</t>
  </si>
  <si>
    <t>（7）固定数额补助支出</t>
  </si>
  <si>
    <t>（8）革命老区转移支付支出</t>
  </si>
  <si>
    <t>（9）民族地区转移支付支出</t>
  </si>
  <si>
    <t>（10）边境地区转移支付支出</t>
  </si>
  <si>
    <t>（11）欠发达地区转移支付支出</t>
  </si>
  <si>
    <t>（12）共同财政事权转移支付支出</t>
  </si>
  <si>
    <t>（13）增值税留抵退税转移支付支出</t>
  </si>
  <si>
    <t>（14）其他退税减税降费转移支付支出</t>
  </si>
  <si>
    <t>（15）补充县区财力转移支付支出</t>
  </si>
  <si>
    <t>（16）其他一般性转移支付支出</t>
  </si>
  <si>
    <t>3.专项转移支付</t>
  </si>
  <si>
    <t>（二）上解省级支出</t>
  </si>
  <si>
    <t xml:space="preserve">  1.体制上解支出</t>
  </si>
  <si>
    <t xml:space="preserve">  2.专项上解支出</t>
  </si>
  <si>
    <t>（三 ）援助其他地区支出</t>
  </si>
  <si>
    <t>（四）调出资金</t>
  </si>
  <si>
    <t>（二）区级上解收入</t>
  </si>
  <si>
    <t>（五）安排预算稳定调节基金</t>
  </si>
  <si>
    <t xml:space="preserve">  1.体制上解收入</t>
  </si>
  <si>
    <t>（六）地方政府一般债务转贷支出</t>
  </si>
  <si>
    <t xml:space="preserve">  2.专项上解收入</t>
  </si>
  <si>
    <t>1.地方政府一般债券转贷支出</t>
  </si>
  <si>
    <t>2.地方政府其他一般债务转贷支出</t>
  </si>
  <si>
    <t>（七）年终结余结转</t>
  </si>
  <si>
    <t>（五）动用预算稳定调节基金</t>
  </si>
  <si>
    <t>附件4</t>
  </si>
  <si>
    <t>2024年三亚市市本级政府性基金预算收支调整表</t>
  </si>
  <si>
    <t>（一）政府性基金转移支付支出</t>
  </si>
  <si>
    <t>（二）抗疫特别国债转移支付支出</t>
  </si>
  <si>
    <t>（三）市县上解收入</t>
  </si>
  <si>
    <t>（三）上解上级支出</t>
  </si>
  <si>
    <t>（四）上年结余收入</t>
  </si>
  <si>
    <t>（五）调入资金</t>
  </si>
  <si>
    <t>（五）债务转贷支出</t>
  </si>
  <si>
    <t>国有土地使用权出让金债务转贷支出</t>
  </si>
  <si>
    <t>土地储备专项债券转贷支出</t>
  </si>
  <si>
    <t>棚户区改造专项债券转贷支出</t>
  </si>
  <si>
    <t>其他地方自行试点项目收益专项债券转贷支出</t>
  </si>
  <si>
    <t>（六）年终结余结转</t>
  </si>
  <si>
    <t>附件5</t>
  </si>
  <si>
    <t>2024年第三批专项债项目调整明细表</t>
  </si>
  <si>
    <t>单位：万元</t>
  </si>
  <si>
    <t>序号</t>
  </si>
  <si>
    <t>市/区</t>
  </si>
  <si>
    <t>项目名称</t>
  </si>
  <si>
    <t>业主单位</t>
  </si>
  <si>
    <t>支出功能科目</t>
  </si>
  <si>
    <t>安排金额</t>
  </si>
  <si>
    <t>备注</t>
  </si>
  <si>
    <t>全市合计</t>
  </si>
  <si>
    <t>市本级合计</t>
  </si>
  <si>
    <t>三亚市本级</t>
  </si>
  <si>
    <t>三亚崖州湾科技城综合医院</t>
  </si>
  <si>
    <t>三亚崖州湾科技城开发建设有限公司</t>
  </si>
  <si>
    <t>2290402-其他地方自行试点项目收益专项债券收入安排的支出</t>
  </si>
  <si>
    <t>利用海南西环高铁和货线三亚至乐东（岭头）段开行公交化旅游化列车改造工程项目</t>
  </si>
  <si>
    <t>三亚铁路投资建设有限公司</t>
  </si>
  <si>
    <t>三亚总部经济中央商务启动区月川单元市政基础设施配套工程项目</t>
  </si>
  <si>
    <t>三亚商务区开发建设有限公司</t>
  </si>
  <si>
    <t>三亚河口通道工程项目</t>
  </si>
  <si>
    <t>崖州果蔬综合批发市场（一期）项目</t>
  </si>
  <si>
    <t>国际玉米技术创新与成果转化中心建设项目</t>
  </si>
  <si>
    <t>“大三亚”120急救体系建设项目</t>
  </si>
  <si>
    <t>三亚市卫生健康委员会</t>
  </si>
  <si>
    <t>南京农业大学大豆园艺作物种质创新中心项目</t>
  </si>
  <si>
    <t>三亚崖州湾科技城先进技术与产业创新平台建设项目</t>
  </si>
  <si>
    <t>中国科学院深海科学与工程研究所深远海新型多功能科考船项目</t>
  </si>
  <si>
    <t>国家级非人灵长类种质资源与模型研发中心</t>
  </si>
  <si>
    <t>三亚崖州湾深海科技城棚户区安置项目（二期）</t>
  </si>
  <si>
    <t>三亚市天涯区西瓜、芒果片区棚户区改造（二期）项目</t>
  </si>
  <si>
    <t>三亚城市发展联合投资有限公司</t>
  </si>
  <si>
    <t>三亚南山热带优异果蔬资源保护基地项目</t>
  </si>
  <si>
    <t>三亚市崖州区古城北路贯通工程</t>
  </si>
  <si>
    <t>三亚崖州湾科技城疏港大道项目</t>
  </si>
  <si>
    <t>全球动植物种质资源鉴定评价及确权交换中心项目</t>
  </si>
  <si>
    <t>种业创新中心项目</t>
  </si>
  <si>
    <t>三亚崖州湾科技城水系工程项目</t>
  </si>
  <si>
    <t>三亚市崖州中心渔港片区路网建设三期工程</t>
  </si>
  <si>
    <t>三亚市崖州区河堤路（城东大桥~古城北路）道路工程</t>
  </si>
  <si>
    <t>三亚崖州湾科教城综合路网（二期）项目</t>
  </si>
  <si>
    <t>三亚港南山港区货运码头二期工程项目</t>
  </si>
  <si>
    <t>三亚市西水中调工程（一期）</t>
  </si>
  <si>
    <t>三亚市水务局</t>
  </si>
  <si>
    <t>崖州湾科技城公交枢纽站（场站）项目</t>
  </si>
  <si>
    <t>三亚交通投资集团有限公司</t>
  </si>
  <si>
    <t>三亚崖州湾南繁科技城北部片区道路工程项目</t>
  </si>
  <si>
    <t>三亚崖州湾科技城3号路市政化改造工程项目</t>
  </si>
  <si>
    <t>南繁科技城综合服务保障区南滨片区路网项目</t>
  </si>
  <si>
    <t>北京大学口腔医院三亚分院项目</t>
  </si>
  <si>
    <t>三亚口腔医学中心</t>
  </si>
  <si>
    <t>三亚市育才医院医疗设备工程</t>
  </si>
  <si>
    <t>三亚市崖州中心渔港片区路网建设二期工程</t>
  </si>
  <si>
    <t>三亚崖州湾科技城G98沿线横向交叉道路建设工程</t>
  </si>
  <si>
    <t>三亚崖州湾科技城14号路道路工程项目</t>
  </si>
  <si>
    <t>三亚市2022年农村饮水巩固提升工程</t>
  </si>
  <si>
    <t>三亚环通工程管理有限公司</t>
  </si>
  <si>
    <t>三亚市榆红医院项目</t>
  </si>
  <si>
    <t>新建二期综合门诊大楼建设项目</t>
  </si>
  <si>
    <t>三亚中心医院（海南省第三人民医院）</t>
  </si>
  <si>
    <t>三亚市崖州中心渔港片区路网建设一期工程</t>
  </si>
  <si>
    <t>三亚崖州湾科技城与保港组团跨宁远河连通通道工程项目</t>
  </si>
  <si>
    <t>三亚崖州湾科技城创元路道路工程项目</t>
  </si>
  <si>
    <t>三亚崖州湾南繁科技城综合服务保障区南山花园片区路网项目</t>
  </si>
  <si>
    <t>三亚崖州湾科技城9号路道路工程项目</t>
  </si>
  <si>
    <t>三亚崖州湾科技城12号路B段道路工程项目</t>
  </si>
  <si>
    <t>兴滨纵三路南段道路工程项目</t>
  </si>
  <si>
    <t>兴滨南路延长段道路工程项目</t>
  </si>
  <si>
    <t>南山港科考服务体系一期项目</t>
  </si>
  <si>
    <t>国家耐盐碱水稻技术创新合作平台项目</t>
  </si>
  <si>
    <t>“同心家园”三十三期保障性住房项目</t>
  </si>
  <si>
    <t>三亚市住房保障管理中心</t>
  </si>
  <si>
    <t>区级合计</t>
  </si>
  <si>
    <t>一</t>
  </si>
  <si>
    <t>崖州区</t>
  </si>
  <si>
    <t>三亚崖州湾科技城南山棚户区安置项目</t>
  </si>
  <si>
    <t>三亚崖州湾科技城国家热带农业科学中心综合实验室项目</t>
  </si>
  <si>
    <t>三亚崖州湾科技城双创示范基地项目</t>
  </si>
  <si>
    <t>三亚崖州湾科技城南海资源保护开发与利用产业创新平台</t>
  </si>
  <si>
    <t>三亚崖州湾科技城创新研学谷（三期）宿舍楼项目</t>
  </si>
  <si>
    <t>三亚崖州湾科技城南海海岛空间开发技术创新与成果转化平台建设项目</t>
  </si>
  <si>
    <t>三亚崖州湾科技城深海片区排水排涝基础设施二期</t>
  </si>
  <si>
    <t>三亚崖州湾科技城南繁综合服务保障区兴滨三横路南部延长段项目</t>
  </si>
  <si>
    <t>三亚崖州湾科技城南繁科技城片区防洪排涝工程项目</t>
  </si>
  <si>
    <t>三亚崖州湾科技城南繁科技城园区北部发展片区路网工程项目</t>
  </si>
  <si>
    <t>三亚崖州湾科技城深海片区排水排涝基础设施一期</t>
  </si>
  <si>
    <t>三亚崖州湾深海科技城棚户区安置项目</t>
  </si>
  <si>
    <t>三亚市崖州中心渔港保障性住房项目</t>
  </si>
  <si>
    <t>三亚崖州湾科技城深海科技城片区地下综合管廊项目</t>
  </si>
  <si>
    <t>三亚崖州湾科技城盐灶片区市政配套工程（二期）项目</t>
  </si>
  <si>
    <t>三亚崖州湾科技城25号路道路工程项目</t>
  </si>
  <si>
    <t>三亚崖州湾科技城种业专业研发外包服务公共平台（CRO）二期工程项目</t>
  </si>
  <si>
    <t>三亚崖州湾科技城海小线（港口路—大小洞天）基础配套项目</t>
  </si>
  <si>
    <t>三亚崖州湾科技城生物科学诊断公共创新平台项目</t>
  </si>
  <si>
    <t>二</t>
  </si>
  <si>
    <t>天涯区</t>
  </si>
  <si>
    <t>三亚市天涯区文化多馆合一项目</t>
  </si>
  <si>
    <t>三亚市天涯区旅游和文化广电体育局</t>
  </si>
  <si>
    <t>三亚市抱坡溪东片区排水管网提质增效工程</t>
  </si>
  <si>
    <t>三亚市天涯区妙林片区安置区项目（地块一）一期</t>
  </si>
  <si>
    <t>三亚市天涯区住房和城乡建设局</t>
  </si>
  <si>
    <t>三</t>
  </si>
  <si>
    <t>吉阳区</t>
  </si>
  <si>
    <t>三亚市棕榈滩污水主干管疏通清理、修复及压力管建设工程</t>
  </si>
  <si>
    <t>三亚东岸片区丹东西路和东岸西二路项目</t>
  </si>
  <si>
    <t>四</t>
  </si>
  <si>
    <t>海棠区</t>
  </si>
  <si>
    <t>三亚市海棠湾林旺中安置区（一期）项目</t>
  </si>
  <si>
    <t>三亚市海棠湾开发建设有限公司</t>
  </si>
  <si>
    <t>三亚市现代服务业产业园基础设施配套椰风路一期项目</t>
  </si>
  <si>
    <t>三亚市海棠区创业人才保障项目</t>
  </si>
  <si>
    <t>三亚市海棠区南田片区路网建设工程</t>
  </si>
  <si>
    <t>三亚市海棠湾B1片区路网工程</t>
  </si>
  <si>
    <t>三亚市海棠湾B1片区路网工程C11号路项目</t>
  </si>
  <si>
    <t>海棠湾A8片区路网市政道路工程三期</t>
  </si>
  <si>
    <t>三亚市海棠湾A8片区路网项目（二期）</t>
  </si>
  <si>
    <t>附件6</t>
  </si>
  <si>
    <t>2024年第二批专项债项目调整明细表</t>
  </si>
  <si>
    <t>三亚市地下综合管廊试点（一期）工程</t>
  </si>
  <si>
    <t>三亚市海棠湾国家海岸旅游度假区基础设施建设工程</t>
  </si>
  <si>
    <t>三亚市红塘湾水质净化厂项目</t>
  </si>
  <si>
    <t>三亚城市投资建设集团有限公司</t>
  </si>
  <si>
    <t>三亚有轨电车示范线</t>
  </si>
  <si>
    <t>三亚市垃圾填埋场和焚烧发电厂配套设施项目专项基金02</t>
  </si>
  <si>
    <t>三亚湾新城水质净化厂配套管网工程</t>
  </si>
  <si>
    <t>三亚市垃圾填埋场和焚烧发电厂配套设施项目专项基金01</t>
  </si>
  <si>
    <t>《三亚湾海坡片区合作开发协议书》</t>
  </si>
</sst>
</file>

<file path=xl/styles.xml><?xml version="1.0" encoding="utf-8"?>
<styleSheet xmlns="http://schemas.openxmlformats.org/spreadsheetml/2006/main">
  <numFmts count="8">
    <numFmt numFmtId="176" formatCode="0.0%"/>
    <numFmt numFmtId="177"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8" formatCode="0.0_ "/>
    <numFmt numFmtId="179" formatCode="#,##0_ "/>
  </numFmts>
  <fonts count="41">
    <font>
      <sz val="11"/>
      <color indexed="8"/>
      <name val="宋体"/>
      <charset val="134"/>
    </font>
    <font>
      <sz val="12"/>
      <name val="宋体"/>
      <charset val="134"/>
    </font>
    <font>
      <sz val="16"/>
      <name val="宋体"/>
      <charset val="134"/>
    </font>
    <font>
      <sz val="12"/>
      <color theme="1"/>
      <name val="宋体"/>
      <charset val="134"/>
      <scheme val="minor"/>
    </font>
    <font>
      <b/>
      <sz val="22"/>
      <color indexed="8"/>
      <name val="方正小标宋_GBK"/>
      <charset val="134"/>
    </font>
    <font>
      <sz val="16"/>
      <name val="SimSun"/>
      <charset val="134"/>
    </font>
    <font>
      <sz val="14"/>
      <color theme="1"/>
      <name val="宋体"/>
      <charset val="134"/>
    </font>
    <font>
      <b/>
      <sz val="16"/>
      <name val="SimSun"/>
      <charset val="134"/>
    </font>
    <font>
      <b/>
      <sz val="18"/>
      <name val="SimSun"/>
      <charset val="134"/>
    </font>
    <font>
      <sz val="16"/>
      <color theme="1"/>
      <name val="宋体"/>
      <charset val="134"/>
    </font>
    <font>
      <b/>
      <sz val="16"/>
      <name val="宋体"/>
      <charset val="134"/>
    </font>
    <font>
      <b/>
      <sz val="12"/>
      <name val="宋体"/>
      <charset val="134"/>
    </font>
    <font>
      <b/>
      <sz val="18"/>
      <name val="宋体"/>
      <charset val="134"/>
    </font>
    <font>
      <b/>
      <sz val="16"/>
      <color theme="1"/>
      <name val="宋体"/>
      <charset val="134"/>
    </font>
    <font>
      <sz val="11"/>
      <name val="宋体"/>
      <charset val="134"/>
      <scheme val="minor"/>
    </font>
    <font>
      <b/>
      <sz val="11"/>
      <name val="宋体"/>
      <charset val="134"/>
      <scheme val="minor"/>
    </font>
    <font>
      <b/>
      <sz val="24"/>
      <name val="宋体"/>
      <charset val="134"/>
      <scheme val="minor"/>
    </font>
    <font>
      <sz val="11"/>
      <name val="宋体"/>
      <charset val="134"/>
    </font>
    <font>
      <sz val="11"/>
      <name val="新宋体"/>
      <charset val="134"/>
    </font>
    <font>
      <b/>
      <sz val="26"/>
      <name val="宋体"/>
      <charset val="134"/>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9"/>
      <name val="宋体"/>
      <charset val="134"/>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4">
    <xf numFmtId="0" fontId="0" fillId="0" borderId="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0" fontId="32" fillId="20" borderId="5" applyNumberFormat="0" applyAlignment="0" applyProtection="0">
      <alignment vertical="center"/>
    </xf>
    <xf numFmtId="44" fontId="0" fillId="0" borderId="0" applyFont="0" applyFill="0" applyBorder="0" applyAlignment="0" applyProtection="0">
      <alignment vertical="center"/>
    </xf>
    <xf numFmtId="0" fontId="1" fillId="0" borderId="0">
      <alignment vertical="center" wrapText="1"/>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1" fillId="0" borderId="0">
      <alignment vertical="center"/>
    </xf>
    <xf numFmtId="0" fontId="30" fillId="2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26" fillId="12" borderId="8" applyNumberFormat="0" applyFont="0" applyAlignment="0" applyProtection="0">
      <alignment vertical="center"/>
    </xf>
    <xf numFmtId="0" fontId="30" fillId="25" borderId="0" applyNumberFormat="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0" borderId="7" applyNumberFormat="0" applyFill="0" applyAlignment="0" applyProtection="0">
      <alignment vertical="center"/>
    </xf>
    <xf numFmtId="0" fontId="35" fillId="0" borderId="7" applyNumberFormat="0" applyFill="0" applyAlignment="0" applyProtection="0">
      <alignment vertical="center"/>
    </xf>
    <xf numFmtId="0" fontId="30" fillId="28" borderId="0" applyNumberFormat="0" applyBorder="0" applyAlignment="0" applyProtection="0">
      <alignment vertical="center"/>
    </xf>
    <xf numFmtId="0" fontId="27" fillId="0" borderId="9" applyNumberFormat="0" applyFill="0" applyAlignment="0" applyProtection="0">
      <alignment vertical="center"/>
    </xf>
    <xf numFmtId="0" fontId="1" fillId="0" borderId="0">
      <alignment vertical="center"/>
    </xf>
    <xf numFmtId="0" fontId="30" fillId="27" borderId="0" applyNumberFormat="0" applyBorder="0" applyAlignment="0" applyProtection="0">
      <alignment vertical="center"/>
    </xf>
    <xf numFmtId="0" fontId="24" fillId="5" borderId="6" applyNumberFormat="0" applyAlignment="0" applyProtection="0">
      <alignment vertical="center"/>
    </xf>
    <xf numFmtId="0" fontId="21" fillId="5" borderId="5" applyNumberFormat="0" applyAlignment="0" applyProtection="0">
      <alignment vertical="center"/>
    </xf>
    <xf numFmtId="0" fontId="34" fillId="24" borderId="11" applyNumberFormat="0" applyAlignment="0" applyProtection="0">
      <alignment vertical="center"/>
    </xf>
    <xf numFmtId="0" fontId="20" fillId="11" borderId="0" applyNumberFormat="0" applyBorder="0" applyAlignment="0" applyProtection="0">
      <alignment vertical="center"/>
    </xf>
    <xf numFmtId="0" fontId="30" fillId="19" borderId="0" applyNumberFormat="0" applyBorder="0" applyAlignment="0" applyProtection="0">
      <alignment vertical="center"/>
    </xf>
    <xf numFmtId="0" fontId="40" fillId="0" borderId="12" applyNumberFormat="0" applyFill="0" applyAlignment="0" applyProtection="0">
      <alignment vertical="center"/>
    </xf>
    <xf numFmtId="0" fontId="31" fillId="0" borderId="10" applyNumberFormat="0" applyFill="0" applyAlignment="0" applyProtection="0">
      <alignment vertical="center"/>
    </xf>
    <xf numFmtId="0" fontId="23" fillId="10" borderId="0" applyNumberFormat="0" applyBorder="0" applyAlignment="0" applyProtection="0">
      <alignment vertical="center"/>
    </xf>
    <xf numFmtId="0" fontId="33" fillId="23" borderId="0" applyNumberFormat="0" applyBorder="0" applyAlignment="0" applyProtection="0">
      <alignment vertical="center"/>
    </xf>
    <xf numFmtId="0" fontId="20" fillId="9" borderId="0" applyNumberFormat="0" applyBorder="0" applyAlignment="0" applyProtection="0">
      <alignment vertical="center"/>
    </xf>
    <xf numFmtId="0" fontId="30" fillId="30" borderId="0" applyNumberFormat="0" applyBorder="0" applyAlignment="0" applyProtection="0">
      <alignment vertical="center"/>
    </xf>
    <xf numFmtId="0" fontId="20" fillId="15" borderId="0" applyNumberFormat="0" applyBorder="0" applyAlignment="0" applyProtection="0">
      <alignment vertical="center"/>
    </xf>
    <xf numFmtId="0" fontId="20" fillId="32"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30" fillId="18" borderId="0" applyNumberFormat="0" applyBorder="0" applyAlignment="0" applyProtection="0">
      <alignment vertical="center"/>
    </xf>
    <xf numFmtId="0" fontId="30" fillId="29" borderId="0" applyNumberFormat="0" applyBorder="0" applyAlignment="0" applyProtection="0">
      <alignment vertical="center"/>
    </xf>
    <xf numFmtId="0" fontId="20" fillId="14" borderId="0" applyNumberFormat="0" applyBorder="0" applyAlignment="0" applyProtection="0">
      <alignment vertical="center"/>
    </xf>
    <xf numFmtId="0" fontId="20" fillId="31" borderId="0" applyNumberFormat="0" applyBorder="0" applyAlignment="0" applyProtection="0">
      <alignment vertical="center"/>
    </xf>
    <xf numFmtId="0" fontId="30" fillId="17" borderId="0" applyNumberFormat="0" applyBorder="0" applyAlignment="0" applyProtection="0">
      <alignment vertical="center"/>
    </xf>
    <xf numFmtId="0" fontId="20" fillId="3" borderId="0" applyNumberFormat="0" applyBorder="0" applyAlignment="0" applyProtection="0">
      <alignment vertical="center"/>
    </xf>
    <xf numFmtId="0" fontId="1" fillId="0" borderId="0">
      <alignment vertical="center"/>
    </xf>
    <xf numFmtId="0" fontId="1" fillId="0" borderId="0">
      <alignment vertical="center"/>
    </xf>
    <xf numFmtId="0" fontId="30" fillId="22" borderId="0" applyNumberFormat="0" applyBorder="0" applyAlignment="0" applyProtection="0">
      <alignment vertical="center"/>
    </xf>
    <xf numFmtId="0" fontId="30" fillId="16" borderId="0" applyNumberFormat="0" applyBorder="0" applyAlignment="0" applyProtection="0">
      <alignment vertical="center"/>
    </xf>
    <xf numFmtId="0" fontId="20" fillId="2" borderId="0" applyNumberFormat="0" applyBorder="0" applyAlignment="0" applyProtection="0">
      <alignment vertical="center"/>
    </xf>
    <xf numFmtId="0" fontId="30" fillId="21" borderId="0" applyNumberFormat="0" applyBorder="0" applyAlignment="0" applyProtection="0">
      <alignment vertical="center"/>
    </xf>
    <xf numFmtId="0" fontId="1" fillId="0" borderId="0">
      <alignment vertical="center"/>
    </xf>
    <xf numFmtId="0" fontId="1" fillId="0" borderId="0">
      <alignment vertical="center"/>
    </xf>
    <xf numFmtId="0" fontId="37" fillId="0" borderId="0">
      <alignment vertical="center"/>
    </xf>
    <xf numFmtId="0" fontId="1" fillId="0" borderId="0">
      <alignment vertical="center" wrapText="1"/>
    </xf>
    <xf numFmtId="0" fontId="37" fillId="0" borderId="0">
      <alignment vertical="center"/>
    </xf>
    <xf numFmtId="0" fontId="1" fillId="0" borderId="0">
      <alignment vertical="center" wrapText="1"/>
    </xf>
    <xf numFmtId="0" fontId="1" fillId="0" borderId="0">
      <alignment vertical="center"/>
    </xf>
    <xf numFmtId="0" fontId="26" fillId="0" borderId="0">
      <alignment vertical="center"/>
    </xf>
    <xf numFmtId="0" fontId="1" fillId="0" borderId="0"/>
  </cellStyleXfs>
  <cellXfs count="1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57" applyFont="1" applyFill="1" applyAlignment="1">
      <alignment horizontal="center" vertical="center" wrapText="1"/>
    </xf>
    <xf numFmtId="0" fontId="6" fillId="0" borderId="0" xfId="0" applyNumberFormat="1" applyFont="1" applyFill="1" applyAlignment="1">
      <alignment horizontal="righ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2" xfId="57" applyNumberFormat="1" applyFont="1" applyFill="1" applyBorder="1" applyAlignment="1">
      <alignment horizontal="center" vertical="center" wrapText="1"/>
    </xf>
    <xf numFmtId="177" fontId="7" fillId="0" borderId="1" xfId="57"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Fill="1" applyBorder="1" applyAlignment="1">
      <alignment vertic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16" fillId="0" borderId="0" xfId="0" applyFont="1" applyFill="1" applyAlignment="1">
      <alignment horizontal="center" vertical="center"/>
    </xf>
    <xf numFmtId="0" fontId="15" fillId="0" borderId="1" xfId="0" applyFont="1" applyFill="1" applyBorder="1" applyAlignment="1">
      <alignment horizontal="center" vertical="center"/>
    </xf>
    <xf numFmtId="49" fontId="15" fillId="0" borderId="1" xfId="49"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58" applyFont="1" applyFill="1" applyBorder="1" applyAlignment="1" applyProtection="1">
      <alignment horizontal="center" vertical="center"/>
      <protection locked="0"/>
    </xf>
    <xf numFmtId="0" fontId="15" fillId="0" borderId="1" xfId="0" applyFont="1" applyFill="1" applyBorder="1" applyAlignment="1">
      <alignment vertical="center"/>
    </xf>
    <xf numFmtId="177" fontId="15" fillId="0" borderId="1" xfId="0" applyNumberFormat="1" applyFont="1" applyFill="1" applyBorder="1" applyAlignment="1">
      <alignment vertical="center"/>
    </xf>
    <xf numFmtId="177" fontId="15" fillId="0" borderId="1" xfId="13" applyNumberFormat="1" applyFont="1" applyFill="1" applyBorder="1">
      <alignment vertical="center"/>
    </xf>
    <xf numFmtId="176" fontId="15" fillId="0" borderId="1" xfId="13" applyNumberFormat="1" applyFont="1" applyFill="1" applyBorder="1" applyAlignment="1">
      <alignment vertical="center"/>
    </xf>
    <xf numFmtId="0" fontId="14" fillId="0" borderId="1" xfId="58" applyFont="1" applyFill="1" applyBorder="1" applyAlignment="1" applyProtection="1">
      <alignment horizontal="left" vertical="center"/>
      <protection locked="0"/>
    </xf>
    <xf numFmtId="0" fontId="14" fillId="0" borderId="1" xfId="0" applyFont="1" applyFill="1" applyBorder="1" applyAlignment="1">
      <alignment vertical="center"/>
    </xf>
    <xf numFmtId="177" fontId="14" fillId="0" borderId="1" xfId="0" applyNumberFormat="1" applyFont="1" applyFill="1" applyBorder="1" applyAlignment="1">
      <alignment vertical="center"/>
    </xf>
    <xf numFmtId="177" fontId="17" fillId="0" borderId="4" xfId="49" applyNumberFormat="1" applyFont="1" applyFill="1" applyBorder="1" applyAlignment="1">
      <alignment horizontal="right" vertical="center"/>
    </xf>
    <xf numFmtId="177" fontId="17" fillId="0" borderId="1" xfId="9" applyNumberFormat="1" applyFont="1" applyFill="1" applyBorder="1" applyAlignment="1" applyProtection="1">
      <alignment horizontal="right" vertical="center" wrapText="1"/>
    </xf>
    <xf numFmtId="177" fontId="14" fillId="0" borderId="1" xfId="13" applyNumberFormat="1" applyFont="1" applyFill="1" applyBorder="1">
      <alignment vertical="center"/>
    </xf>
    <xf numFmtId="178" fontId="14" fillId="0" borderId="1" xfId="0" applyNumberFormat="1" applyFont="1" applyFill="1" applyBorder="1" applyAlignment="1">
      <alignment vertical="center"/>
    </xf>
    <xf numFmtId="0" fontId="14" fillId="0" borderId="1" xfId="58" applyFont="1" applyFill="1" applyBorder="1">
      <alignment vertical="center" wrapText="1"/>
    </xf>
    <xf numFmtId="177" fontId="14" fillId="0" borderId="1" xfId="55" applyNumberFormat="1" applyFont="1" applyFill="1" applyBorder="1" applyAlignment="1">
      <alignment horizontal="right" vertical="center"/>
    </xf>
    <xf numFmtId="176" fontId="14" fillId="0" borderId="1" xfId="13" applyNumberFormat="1" applyFont="1" applyFill="1" applyBorder="1" applyAlignment="1">
      <alignment vertical="center"/>
    </xf>
    <xf numFmtId="177" fontId="17" fillId="0" borderId="1" xfId="55" applyNumberFormat="1" applyFont="1" applyFill="1" applyBorder="1" applyAlignment="1">
      <alignment horizontal="right" vertical="center"/>
    </xf>
    <xf numFmtId="1" fontId="17" fillId="0" borderId="1" xfId="49" applyNumberFormat="1" applyFont="1" applyFill="1" applyBorder="1" applyAlignment="1" applyProtection="1">
      <alignment horizontal="left" vertical="center"/>
      <protection locked="0"/>
    </xf>
    <xf numFmtId="1" fontId="15" fillId="0" borderId="1" xfId="49" applyNumberFormat="1" applyFont="1" applyFill="1" applyBorder="1" applyAlignment="1" applyProtection="1">
      <alignment horizontal="left" vertical="center"/>
      <protection locked="0"/>
    </xf>
    <xf numFmtId="1" fontId="14" fillId="0" borderId="1" xfId="49" applyNumberFormat="1" applyFont="1" applyFill="1" applyBorder="1" applyAlignment="1" applyProtection="1">
      <alignment horizontal="left" vertical="center"/>
      <protection locked="0"/>
    </xf>
    <xf numFmtId="0" fontId="15" fillId="0" borderId="1" xfId="60" applyFont="1" applyFill="1" applyBorder="1" applyAlignment="1" applyProtection="1">
      <alignment horizontal="center" vertical="center"/>
      <protection locked="0"/>
    </xf>
    <xf numFmtId="0" fontId="14" fillId="0" borderId="1" xfId="59" applyFont="1" applyFill="1" applyBorder="1" applyAlignment="1">
      <alignment horizontal="left" vertical="center" wrapText="1"/>
    </xf>
    <xf numFmtId="177" fontId="17" fillId="0" borderId="1" xfId="49" applyNumberFormat="1" applyFont="1" applyFill="1" applyBorder="1" applyAlignment="1">
      <alignment horizontal="right" vertical="center"/>
    </xf>
    <xf numFmtId="0" fontId="14" fillId="0" borderId="1" xfId="5" applyFont="1" applyFill="1" applyBorder="1">
      <alignment vertical="center" wrapText="1"/>
    </xf>
    <xf numFmtId="177" fontId="17" fillId="0" borderId="1" xfId="5" applyNumberFormat="1" applyFont="1" applyFill="1" applyBorder="1" applyAlignment="1" applyProtection="1">
      <alignment horizontal="right" vertical="center" wrapText="1"/>
      <protection locked="0"/>
    </xf>
    <xf numFmtId="0" fontId="14" fillId="0" borderId="1" xfId="60" applyFont="1" applyFill="1" applyBorder="1">
      <alignment vertical="center" wrapText="1"/>
    </xf>
    <xf numFmtId="177" fontId="17" fillId="0" borderId="1" xfId="5" applyNumberFormat="1" applyFont="1" applyFill="1" applyBorder="1" applyAlignment="1">
      <alignment horizontal="right" vertical="center"/>
    </xf>
    <xf numFmtId="0" fontId="14" fillId="0" borderId="0" xfId="0" applyFont="1" applyFill="1" applyAlignment="1">
      <alignment horizontal="center" vertical="center"/>
    </xf>
    <xf numFmtId="176" fontId="15" fillId="0" borderId="1" xfId="49" applyNumberFormat="1" applyFont="1" applyFill="1" applyBorder="1" applyAlignment="1">
      <alignment horizontal="center" vertical="center" wrapText="1"/>
    </xf>
    <xf numFmtId="0" fontId="14" fillId="0" borderId="1" xfId="5" applyFont="1" applyFill="1" applyBorder="1" applyAlignment="1" applyProtection="1">
      <alignment vertical="center"/>
      <protection locked="0"/>
    </xf>
    <xf numFmtId="0" fontId="14" fillId="0" borderId="1" xfId="58" applyFont="1" applyFill="1" applyBorder="1" applyAlignment="1" applyProtection="1">
      <alignment vertical="center"/>
      <protection locked="0"/>
    </xf>
    <xf numFmtId="0" fontId="14" fillId="0" borderId="1" xfId="5" applyFont="1" applyFill="1" applyBorder="1" applyAlignment="1">
      <alignment vertical="center"/>
    </xf>
    <xf numFmtId="177" fontId="17" fillId="0" borderId="1" xfId="9" applyNumberFormat="1" applyFont="1" applyFill="1" applyBorder="1" applyAlignment="1" applyProtection="1">
      <alignment horizontal="right" vertical="center"/>
    </xf>
    <xf numFmtId="0" fontId="14" fillId="0" borderId="1" xfId="5" applyFont="1" applyFill="1" applyBorder="1" applyAlignment="1" applyProtection="1">
      <alignment vertical="center" wrapText="1"/>
      <protection locked="0"/>
    </xf>
    <xf numFmtId="177" fontId="17" fillId="0" borderId="1" xfId="58" applyNumberFormat="1" applyFont="1" applyFill="1" applyBorder="1" applyAlignment="1">
      <alignment horizontal="right" vertical="center" wrapText="1"/>
    </xf>
    <xf numFmtId="0" fontId="14" fillId="0" borderId="1" xfId="5" applyFont="1" applyFill="1" applyBorder="1" applyAlignment="1" applyProtection="1">
      <alignment horizontal="left" vertical="center" indent="2"/>
      <protection locked="0"/>
    </xf>
    <xf numFmtId="179" fontId="14" fillId="0" borderId="1" xfId="60" applyNumberFormat="1" applyFont="1" applyFill="1" applyBorder="1" applyAlignment="1" applyProtection="1">
      <alignment vertical="center"/>
      <protection locked="0"/>
    </xf>
    <xf numFmtId="177" fontId="17" fillId="0" borderId="1" xfId="13" applyNumberFormat="1" applyFont="1" applyFill="1" applyBorder="1" applyAlignment="1" applyProtection="1">
      <alignment horizontal="right" vertical="center"/>
    </xf>
    <xf numFmtId="179" fontId="14" fillId="0" borderId="1" xfId="10" applyNumberFormat="1" applyFont="1" applyFill="1" applyBorder="1" applyAlignment="1">
      <alignment vertical="center"/>
    </xf>
    <xf numFmtId="179" fontId="14" fillId="0" borderId="1" xfId="10" applyNumberFormat="1" applyFont="1" applyFill="1" applyBorder="1" applyAlignment="1">
      <alignment vertical="center" wrapText="1"/>
    </xf>
    <xf numFmtId="0" fontId="14" fillId="0" borderId="1" xfId="59" applyFont="1" applyFill="1" applyBorder="1" applyAlignment="1">
      <alignment horizontal="left" vertical="center"/>
    </xf>
    <xf numFmtId="177" fontId="17" fillId="0" borderId="1" xfId="60" applyNumberFormat="1" applyFont="1" applyFill="1" applyBorder="1" applyAlignment="1">
      <alignment horizontal="right" vertical="center"/>
    </xf>
    <xf numFmtId="3" fontId="14" fillId="0" borderId="1" xfId="58" applyNumberFormat="1" applyFont="1" applyFill="1" applyBorder="1" applyAlignment="1" applyProtection="1">
      <alignment vertical="center"/>
    </xf>
    <xf numFmtId="0" fontId="15" fillId="0" borderId="1" xfId="5" applyFont="1" applyFill="1" applyBorder="1" applyAlignment="1" applyProtection="1">
      <alignment horizontal="center" vertical="center"/>
      <protection locked="0"/>
    </xf>
    <xf numFmtId="177" fontId="17" fillId="0" borderId="1" xfId="50" applyNumberFormat="1" applyFont="1" applyFill="1" applyBorder="1" applyAlignment="1">
      <alignment horizontal="right" vertical="center"/>
    </xf>
    <xf numFmtId="179" fontId="14" fillId="0" borderId="1" xfId="10" applyNumberFormat="1" applyFont="1" applyFill="1" applyBorder="1" applyAlignment="1">
      <alignment horizontal="left" vertical="center" indent="1"/>
    </xf>
    <xf numFmtId="179" fontId="15" fillId="0" borderId="1" xfId="26" applyNumberFormat="1" applyFont="1" applyFill="1" applyBorder="1" applyAlignment="1">
      <alignment horizontal="center" vertical="center"/>
    </xf>
    <xf numFmtId="179" fontId="14" fillId="0" borderId="1" xfId="26" applyNumberFormat="1" applyFont="1" applyFill="1" applyBorder="1" applyAlignment="1">
      <alignment horizontal="left" vertical="center" wrapText="1"/>
    </xf>
    <xf numFmtId="179" fontId="14" fillId="0" borderId="1" xfId="26" applyNumberFormat="1" applyFont="1" applyFill="1" applyBorder="1" applyAlignment="1">
      <alignment horizontal="left" vertical="center"/>
    </xf>
    <xf numFmtId="177" fontId="17" fillId="0" borderId="4" xfId="49" applyNumberFormat="1" applyFont="1" applyFill="1" applyBorder="1" applyAlignment="1">
      <alignment vertical="center"/>
    </xf>
    <xf numFmtId="179" fontId="15" fillId="0" borderId="1" xfId="26" applyNumberFormat="1" applyFont="1" applyFill="1" applyBorder="1" applyAlignment="1">
      <alignment horizontal="left" vertical="center"/>
    </xf>
    <xf numFmtId="178" fontId="15" fillId="0" borderId="1" xfId="0" applyNumberFormat="1" applyFont="1" applyFill="1" applyBorder="1" applyAlignment="1">
      <alignment vertical="center"/>
    </xf>
    <xf numFmtId="1" fontId="15" fillId="0" borderId="1" xfId="49" applyNumberFormat="1" applyFont="1" applyFill="1" applyBorder="1" applyAlignment="1" applyProtection="1">
      <alignment horizontal="center" vertical="center"/>
      <protection locked="0"/>
    </xf>
    <xf numFmtId="177" fontId="17" fillId="0" borderId="1" xfId="26" applyNumberFormat="1" applyFont="1" applyFill="1" applyBorder="1" applyAlignment="1">
      <alignment horizontal="right" vertical="center"/>
    </xf>
    <xf numFmtId="177" fontId="17" fillId="0" borderId="4" xfId="56" applyNumberFormat="1" applyFont="1" applyFill="1" applyBorder="1" applyAlignment="1" applyProtection="1">
      <alignment horizontal="right" vertical="center"/>
    </xf>
    <xf numFmtId="0" fontId="14" fillId="0" borderId="0" xfId="0" applyFont="1" applyFill="1" applyAlignment="1">
      <alignment horizontal="right" vertical="center"/>
    </xf>
    <xf numFmtId="179" fontId="14" fillId="0" borderId="1" xfId="26" applyNumberFormat="1" applyFont="1" applyFill="1" applyBorder="1" applyAlignment="1">
      <alignment horizontal="left" vertical="center" indent="1"/>
    </xf>
    <xf numFmtId="177" fontId="17" fillId="0" borderId="1" xfId="26" applyNumberFormat="1" applyFont="1" applyFill="1" applyBorder="1" applyAlignment="1">
      <alignment vertical="center"/>
    </xf>
    <xf numFmtId="177" fontId="17" fillId="0" borderId="1" xfId="49" applyNumberFormat="1" applyFont="1" applyFill="1" applyBorder="1" applyAlignment="1">
      <alignment vertical="center"/>
    </xf>
    <xf numFmtId="177" fontId="18" fillId="0" borderId="1" xfId="49" applyNumberFormat="1" applyFont="1" applyFill="1" applyBorder="1" applyAlignment="1">
      <alignment horizontal="right" vertical="center"/>
    </xf>
    <xf numFmtId="177" fontId="17" fillId="0" borderId="4" xfId="26" applyNumberFormat="1" applyFont="1" applyFill="1" applyBorder="1" applyAlignment="1">
      <alignment horizontal="right" vertical="center"/>
    </xf>
    <xf numFmtId="1" fontId="14" fillId="0" borderId="1" xfId="49" applyNumberFormat="1" applyFont="1" applyFill="1" applyBorder="1" applyAlignment="1" applyProtection="1">
      <alignment horizontal="left" vertical="center" indent="1"/>
      <protection locked="0"/>
    </xf>
    <xf numFmtId="0" fontId="19" fillId="0" borderId="0" xfId="0" applyFont="1" applyFill="1" applyAlignment="1">
      <alignment horizontal="center" vertical="center"/>
    </xf>
    <xf numFmtId="178" fontId="15" fillId="0" borderId="1" xfId="13" applyNumberFormat="1" applyFont="1" applyFill="1" applyBorder="1">
      <alignment vertical="center"/>
    </xf>
    <xf numFmtId="177" fontId="17" fillId="0" borderId="1" xfId="49" applyNumberFormat="1" applyFont="1" applyFill="1" applyBorder="1" applyAlignment="1">
      <alignment horizontal="right" vertical="center" wrapText="1"/>
    </xf>
    <xf numFmtId="177" fontId="17" fillId="0" borderId="1" xfId="55" applyNumberFormat="1" applyFont="1" applyFill="1" applyBorder="1" applyAlignment="1">
      <alignment horizontal="right" vertical="center" wrapText="1"/>
    </xf>
    <xf numFmtId="178" fontId="14" fillId="0" borderId="1" xfId="13" applyNumberFormat="1" applyFont="1" applyFill="1" applyBorder="1">
      <alignment vertical="center"/>
    </xf>
    <xf numFmtId="178" fontId="14" fillId="0" borderId="1" xfId="13" applyNumberFormat="1" applyFont="1" applyFill="1" applyBorder="1" applyAlignment="1">
      <alignment vertical="center"/>
    </xf>
    <xf numFmtId="177" fontId="14" fillId="0" borderId="1" xfId="13" applyNumberFormat="1" applyFont="1" applyFill="1" applyBorder="1" applyAlignment="1">
      <alignment vertical="center"/>
    </xf>
    <xf numFmtId="177" fontId="14" fillId="0" borderId="1" xfId="0" applyNumberFormat="1" applyFont="1" applyFill="1" applyBorder="1" applyAlignment="1">
      <alignment horizontal="right" vertical="center"/>
    </xf>
    <xf numFmtId="177" fontId="17" fillId="0" borderId="1" xfId="5" applyNumberFormat="1" applyFont="1" applyFill="1" applyBorder="1" applyAlignment="1">
      <alignment horizontal="right" vertical="center" wrapText="1"/>
    </xf>
    <xf numFmtId="178" fontId="15" fillId="0" borderId="1" xfId="13" applyNumberFormat="1" applyFont="1" applyFill="1" applyBorder="1" applyAlignment="1">
      <alignment vertical="center"/>
    </xf>
    <xf numFmtId="0" fontId="14" fillId="0" borderId="1" xfId="58" applyFont="1" applyFill="1" applyBorder="1" applyAlignment="1">
      <alignment vertical="center"/>
    </xf>
    <xf numFmtId="3" fontId="14" fillId="0" borderId="1" xfId="60" applyNumberFormat="1" applyFont="1" applyFill="1" applyBorder="1" applyAlignment="1" applyProtection="1">
      <alignment horizontal="left" vertical="center"/>
    </xf>
    <xf numFmtId="177" fontId="15" fillId="0" borderId="1" xfId="13" applyNumberFormat="1" applyFont="1" applyFill="1" applyBorder="1" applyAlignment="1">
      <alignment horizontal="center" vertical="center"/>
    </xf>
    <xf numFmtId="176" fontId="15" fillId="0" borderId="1" xfId="13" applyNumberFormat="1" applyFont="1" applyFill="1" applyBorder="1" applyAlignment="1">
      <alignment horizontal="center" vertical="center"/>
    </xf>
    <xf numFmtId="177" fontId="15" fillId="0" borderId="1" xfId="0" applyNumberFormat="1" applyFont="1" applyFill="1" applyBorder="1" applyAlignment="1">
      <alignment horizontal="right" vertical="center"/>
    </xf>
    <xf numFmtId="177" fontId="14" fillId="0" borderId="1" xfId="13" applyNumberFormat="1" applyFont="1" applyFill="1" applyBorder="1" applyAlignment="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常规_政府性基金（1-14）" xfId="5"/>
    <cellStyle name="千位分隔[0]" xfId="6" builtinId="6"/>
    <cellStyle name="40% - 强调文字颜色 3" xfId="7" builtinId="39"/>
    <cellStyle name="差" xfId="8" builtinId="27"/>
    <cellStyle name="千位分隔" xfId="9" builtinId="3"/>
    <cellStyle name="常规_2015年政府性基金编制（总表）" xfId="10"/>
    <cellStyle name="60% - 强调文字颜色 3" xfId="11" builtinId="40"/>
    <cellStyle name="超链接" xfId="12" builtinId="8"/>
    <cellStyle name="百分比" xfId="13" builtinId="5"/>
    <cellStyle name="常规 4 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常规_全省与省本级执行及预算表（最后稿0121 2" xfId="26"/>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常规_2009年政府预算表1-4" xfId="49"/>
    <cellStyle name="常规_2006年全省基金完成情况表1" xfId="50"/>
    <cellStyle name="60% - 强调文字颜色 5" xfId="51" builtinId="48"/>
    <cellStyle name="强调文字颜色 6" xfId="52" builtinId="49"/>
    <cellStyle name="40% - 强调文字颜色 6" xfId="53" builtinId="51"/>
    <cellStyle name="60% - 强调文字颜色 6" xfId="54" builtinId="52"/>
    <cellStyle name="常规_全省与省本级执行及预算表（最后稿0121" xfId="55"/>
    <cellStyle name="常规_2007年分级补助表" xfId="56"/>
    <cellStyle name="常规 2" xfId="57"/>
    <cellStyle name="常规_政府性基金（1-14）_基金预算表)" xfId="58"/>
    <cellStyle name="常规_附件22015年海南省财政预算调整草案0515_2016年财力测算1117（二切表）" xfId="59"/>
    <cellStyle name="常规_政府性基金（1-14）_基金预算表（1-18）" xfId="60"/>
    <cellStyle name="常规 5" xfId="61"/>
    <cellStyle name="常规 3" xfId="62"/>
    <cellStyle name="常规_Sheet1" xfId="63"/>
  </cellStyles>
  <dxfs count="2">
    <dxf>
      <font>
        <b/>
        <i val="0"/>
      </font>
    </dxf>
    <dxf>
      <font>
        <b/>
        <i val="0"/>
      </font>
    </dxf>
  </dxfs>
  <tableStyles count="0" defaultTableStyle="TableStyleMedium2"/>
  <colors>
    <mruColors>
      <color rgb="00FF0000"/>
      <color rgb="00000000"/>
      <color rgb="00FFFF00"/>
    </mruColors>
  </colors>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019&#39044;&#31639;/&#20154;&#2282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qh003/d/&#35774;&#22791;/&#21407;&#22987;/814/13%20&#38081;&#36335;&#37197;&#202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h003/d/&#35774;&#22791;/&#21407;&#22987;/814/20%20&#36816;&#36755;&#20844;&#214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任务"/>
      <sheetName val="省农业厅"/>
      <sheetName val="省林业局"/>
      <sheetName val="省水务厅"/>
      <sheetName val="省海洋与渔业厅"/>
      <sheetName val="省扶贫办"/>
      <sheetName val="省农综办"/>
      <sheetName val="省西沙工委"/>
      <sheetName val="省农垦总局"/>
      <sheetName val="模板"/>
      <sheetName val="Sheet1"/>
      <sheetName val="Sheet2"/>
      <sheetName val="Sheet3"/>
      <sheetName val="13 铁路配件"/>
      <sheetName val="财力大表"/>
      <sheetName val="财力(大表) 省长汇报"/>
      <sheetName val="13_铁路配件"/>
      <sheetName val="财力(大表)_省长汇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KKKKKKKK"/>
      <sheetName val=""/>
      <sheetName val="XL4Poppy"/>
      <sheetName val="13 铁路配件"/>
      <sheetName val="#REF!"/>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KKKKKKKK"/>
      <sheetName val=""/>
      <sheetName val="XL4Poppy"/>
      <sheetName val="20 运输公司"/>
      <sheetName val="13 铁路配件"/>
      <sheetName val="任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68"/>
  <sheetViews>
    <sheetView view="pageBreakPreview" zoomScale="85" zoomScaleNormal="100" zoomScaleSheetLayoutView="85" workbookViewId="0">
      <pane xSplit="1" ySplit="6" topLeftCell="B56" activePane="bottomRight" state="frozen"/>
      <selection/>
      <selection pane="topRight"/>
      <selection pane="bottomLeft"/>
      <selection pane="bottomRight" activeCell="A1" sqref="$A1:$XFD1048576"/>
    </sheetView>
  </sheetViews>
  <sheetFormatPr defaultColWidth="8.89166666666667" defaultRowHeight="13.5"/>
  <cols>
    <col min="1" max="1" width="40.6333333333333" style="37" customWidth="1"/>
    <col min="2" max="2" width="8.78333333333333" style="37" customWidth="1"/>
    <col min="3" max="3" width="9.8" style="37" customWidth="1"/>
    <col min="4" max="4" width="10.325" style="37" customWidth="1"/>
    <col min="5" max="6" width="10.1083333333333" style="37" customWidth="1"/>
    <col min="7" max="7" width="9.43333333333333" style="37" customWidth="1"/>
    <col min="8" max="8" width="8.78333333333333" style="37" customWidth="1"/>
    <col min="9" max="9" width="38.6333333333333" style="37" customWidth="1"/>
    <col min="10" max="10" width="9.675" style="37" customWidth="1"/>
    <col min="11" max="14" width="10.0583333333333" style="37" customWidth="1"/>
    <col min="15" max="16" width="8.78333333333333" style="37" customWidth="1"/>
    <col min="17" max="16384" width="8.89166666666667" style="37"/>
  </cols>
  <sheetData>
    <row r="1" ht="16" customHeight="1" spans="1:1">
      <c r="A1" s="37" t="s">
        <v>0</v>
      </c>
    </row>
    <row r="2" ht="32" customHeight="1" spans="1:16">
      <c r="A2" s="38" t="s">
        <v>1</v>
      </c>
      <c r="B2" s="38"/>
      <c r="C2" s="38"/>
      <c r="D2" s="38"/>
      <c r="E2" s="38"/>
      <c r="F2" s="38"/>
      <c r="G2" s="38"/>
      <c r="H2" s="38"/>
      <c r="I2" s="38"/>
      <c r="J2" s="38"/>
      <c r="K2" s="38"/>
      <c r="L2" s="38"/>
      <c r="M2" s="38"/>
      <c r="N2" s="38"/>
      <c r="O2" s="38"/>
      <c r="P2" s="38"/>
    </row>
    <row r="3" ht="16" customHeight="1" spans="15:16">
      <c r="O3" s="68" t="s">
        <v>2</v>
      </c>
      <c r="P3" s="68"/>
    </row>
    <row r="4" s="36" customFormat="1" ht="20" customHeight="1" spans="1:16">
      <c r="A4" s="39" t="s">
        <v>3</v>
      </c>
      <c r="B4" s="39"/>
      <c r="C4" s="39"/>
      <c r="D4" s="39"/>
      <c r="E4" s="39"/>
      <c r="F4" s="39"/>
      <c r="G4" s="39"/>
      <c r="H4" s="39"/>
      <c r="I4" s="39" t="s">
        <v>4</v>
      </c>
      <c r="J4" s="39"/>
      <c r="K4" s="39"/>
      <c r="L4" s="39"/>
      <c r="M4" s="39"/>
      <c r="N4" s="39"/>
      <c r="O4" s="39"/>
      <c r="P4" s="39"/>
    </row>
    <row r="5" s="36" customFormat="1" ht="26" customHeight="1" spans="1:16">
      <c r="A5" s="40" t="s">
        <v>5</v>
      </c>
      <c r="B5" s="41" t="s">
        <v>6</v>
      </c>
      <c r="C5" s="41" t="s">
        <v>7</v>
      </c>
      <c r="D5" s="41" t="s">
        <v>8</v>
      </c>
      <c r="E5" s="41" t="s">
        <v>9</v>
      </c>
      <c r="F5" s="41" t="s">
        <v>10</v>
      </c>
      <c r="G5" s="41" t="s">
        <v>11</v>
      </c>
      <c r="H5" s="41" t="s">
        <v>12</v>
      </c>
      <c r="I5" s="69" t="s">
        <v>13</v>
      </c>
      <c r="J5" s="41" t="s">
        <v>6</v>
      </c>
      <c r="K5" s="41" t="s">
        <v>7</v>
      </c>
      <c r="L5" s="41" t="s">
        <v>8</v>
      </c>
      <c r="M5" s="41" t="s">
        <v>9</v>
      </c>
      <c r="N5" s="41" t="s">
        <v>10</v>
      </c>
      <c r="O5" s="41" t="s">
        <v>11</v>
      </c>
      <c r="P5" s="41" t="s">
        <v>12</v>
      </c>
    </row>
    <row r="6" s="36" customFormat="1" ht="26" customHeight="1" spans="1:16">
      <c r="A6" s="40"/>
      <c r="B6" s="41"/>
      <c r="C6" s="41"/>
      <c r="D6" s="41"/>
      <c r="E6" s="41"/>
      <c r="F6" s="41"/>
      <c r="G6" s="41"/>
      <c r="H6" s="41"/>
      <c r="I6" s="69"/>
      <c r="J6" s="41"/>
      <c r="K6" s="41"/>
      <c r="L6" s="41"/>
      <c r="M6" s="41"/>
      <c r="N6" s="41"/>
      <c r="O6" s="41"/>
      <c r="P6" s="41"/>
    </row>
    <row r="7" s="36" customFormat="1" ht="18.6" customHeight="1" spans="1:16">
      <c r="A7" s="87" t="s">
        <v>14</v>
      </c>
      <c r="B7" s="43">
        <f t="shared" ref="B7:F7" si="0">B8+B23</f>
        <v>1534757</v>
      </c>
      <c r="C7" s="44">
        <f t="shared" si="0"/>
        <v>1534757</v>
      </c>
      <c r="D7" s="44">
        <f t="shared" si="0"/>
        <v>1474163</v>
      </c>
      <c r="E7" s="44">
        <f t="shared" si="0"/>
        <v>1592097</v>
      </c>
      <c r="F7" s="44">
        <f t="shared" si="0"/>
        <v>1592097</v>
      </c>
      <c r="G7" s="45">
        <f>F7-E7</f>
        <v>0</v>
      </c>
      <c r="H7" s="46">
        <f>F7/E7</f>
        <v>1</v>
      </c>
      <c r="I7" s="87" t="s">
        <v>15</v>
      </c>
      <c r="J7" s="43">
        <f t="shared" ref="J7:N7" si="1">SUM(J8:J30)</f>
        <v>2014601</v>
      </c>
      <c r="K7" s="117">
        <f t="shared" si="1"/>
        <v>2054601</v>
      </c>
      <c r="L7" s="117">
        <f t="shared" si="1"/>
        <v>2325017</v>
      </c>
      <c r="M7" s="117">
        <f t="shared" si="1"/>
        <v>2603734</v>
      </c>
      <c r="N7" s="117">
        <f t="shared" si="1"/>
        <v>2603734</v>
      </c>
      <c r="O7" s="115">
        <f t="shared" ref="O7:O30" si="2">N7-M7</f>
        <v>0</v>
      </c>
      <c r="P7" s="46">
        <f t="shared" ref="P7:P30" si="3">N7/M7</f>
        <v>1</v>
      </c>
    </row>
    <row r="8" ht="18" customHeight="1" spans="1:16">
      <c r="A8" s="88" t="s">
        <v>16</v>
      </c>
      <c r="B8" s="48">
        <f t="shared" ref="B8:F8" si="4">SUM(B9:B22)</f>
        <v>1181203</v>
      </c>
      <c r="C8" s="49">
        <f t="shared" si="4"/>
        <v>1181203</v>
      </c>
      <c r="D8" s="49">
        <f t="shared" si="4"/>
        <v>1059630</v>
      </c>
      <c r="E8" s="49">
        <f t="shared" si="4"/>
        <v>1206145</v>
      </c>
      <c r="F8" s="49">
        <f t="shared" si="4"/>
        <v>1206145</v>
      </c>
      <c r="G8" s="52">
        <f>F8-E8</f>
        <v>0</v>
      </c>
      <c r="H8" s="56">
        <f>F8/E8</f>
        <v>1</v>
      </c>
      <c r="I8" s="89" t="s">
        <v>17</v>
      </c>
      <c r="J8" s="48">
        <v>181976</v>
      </c>
      <c r="K8" s="110">
        <v>181976</v>
      </c>
      <c r="L8" s="110">
        <v>210239</v>
      </c>
      <c r="M8" s="110">
        <v>260784</v>
      </c>
      <c r="N8" s="110">
        <v>260784</v>
      </c>
      <c r="O8" s="118">
        <f t="shared" si="2"/>
        <v>0</v>
      </c>
      <c r="P8" s="56">
        <f t="shared" si="3"/>
        <v>1</v>
      </c>
    </row>
    <row r="9" ht="18" customHeight="1" spans="1:16">
      <c r="A9" s="89" t="s">
        <v>18</v>
      </c>
      <c r="B9" s="48">
        <v>202243</v>
      </c>
      <c r="C9" s="90">
        <v>202243</v>
      </c>
      <c r="D9" s="90">
        <v>215536</v>
      </c>
      <c r="E9" s="90">
        <v>224210</v>
      </c>
      <c r="F9" s="90">
        <v>224210</v>
      </c>
      <c r="G9" s="52">
        <f t="shared" ref="G9:G31" si="5">F9-E9</f>
        <v>0</v>
      </c>
      <c r="H9" s="56">
        <f t="shared" ref="H9:H31" si="6">F9/E9</f>
        <v>1</v>
      </c>
      <c r="I9" s="89" t="s">
        <v>19</v>
      </c>
      <c r="J9" s="48"/>
      <c r="K9" s="110"/>
      <c r="L9" s="110">
        <v>10</v>
      </c>
      <c r="M9" s="110"/>
      <c r="N9" s="110"/>
      <c r="O9" s="118">
        <f t="shared" si="2"/>
        <v>0</v>
      </c>
      <c r="P9" s="56"/>
    </row>
    <row r="10" ht="18" customHeight="1" spans="1:16">
      <c r="A10" s="89" t="s">
        <v>20</v>
      </c>
      <c r="B10" s="48">
        <v>170000</v>
      </c>
      <c r="C10" s="90">
        <v>170000</v>
      </c>
      <c r="D10" s="90">
        <v>126369</v>
      </c>
      <c r="E10" s="90">
        <v>148400</v>
      </c>
      <c r="F10" s="90">
        <v>148400</v>
      </c>
      <c r="G10" s="52">
        <f t="shared" si="5"/>
        <v>0</v>
      </c>
      <c r="H10" s="56">
        <f t="shared" si="6"/>
        <v>1</v>
      </c>
      <c r="I10" s="89" t="s">
        <v>21</v>
      </c>
      <c r="J10" s="48">
        <v>16644</v>
      </c>
      <c r="K10" s="110">
        <v>16644</v>
      </c>
      <c r="L10" s="110">
        <v>12974</v>
      </c>
      <c r="M10" s="110">
        <v>12790</v>
      </c>
      <c r="N10" s="110">
        <v>12790</v>
      </c>
      <c r="O10" s="118">
        <f t="shared" si="2"/>
        <v>0</v>
      </c>
      <c r="P10" s="56">
        <f t="shared" si="3"/>
        <v>1</v>
      </c>
    </row>
    <row r="11" ht="18" customHeight="1" spans="1:16">
      <c r="A11" s="89" t="s">
        <v>22</v>
      </c>
      <c r="B11" s="48">
        <v>55000</v>
      </c>
      <c r="C11" s="90">
        <v>55000</v>
      </c>
      <c r="D11" s="90">
        <v>56946</v>
      </c>
      <c r="E11" s="90">
        <v>58800</v>
      </c>
      <c r="F11" s="90">
        <v>58800</v>
      </c>
      <c r="G11" s="52">
        <f t="shared" si="5"/>
        <v>0</v>
      </c>
      <c r="H11" s="56">
        <f t="shared" si="6"/>
        <v>1</v>
      </c>
      <c r="I11" s="89" t="s">
        <v>23</v>
      </c>
      <c r="J11" s="48">
        <v>106708</v>
      </c>
      <c r="K11" s="110">
        <v>106708</v>
      </c>
      <c r="L11" s="110">
        <v>106213</v>
      </c>
      <c r="M11" s="110">
        <v>122310</v>
      </c>
      <c r="N11" s="110">
        <v>122310</v>
      </c>
      <c r="O11" s="118">
        <f t="shared" si="2"/>
        <v>0</v>
      </c>
      <c r="P11" s="56">
        <f t="shared" si="3"/>
        <v>1</v>
      </c>
    </row>
    <row r="12" ht="18" customHeight="1" spans="1:16">
      <c r="A12" s="89" t="s">
        <v>24</v>
      </c>
      <c r="B12" s="48">
        <v>350</v>
      </c>
      <c r="C12" s="90">
        <v>350</v>
      </c>
      <c r="D12" s="90">
        <v>408</v>
      </c>
      <c r="E12" s="90">
        <v>385</v>
      </c>
      <c r="F12" s="90">
        <v>385</v>
      </c>
      <c r="G12" s="52">
        <f t="shared" si="5"/>
        <v>0</v>
      </c>
      <c r="H12" s="56">
        <f t="shared" si="6"/>
        <v>1</v>
      </c>
      <c r="I12" s="89" t="s">
        <v>25</v>
      </c>
      <c r="J12" s="48">
        <v>246901</v>
      </c>
      <c r="K12" s="110">
        <v>256901</v>
      </c>
      <c r="L12" s="110">
        <v>267415</v>
      </c>
      <c r="M12" s="110">
        <f>276061+10208+4000</f>
        <v>290269</v>
      </c>
      <c r="N12" s="110">
        <f>276061+10208+4000</f>
        <v>290269</v>
      </c>
      <c r="O12" s="118">
        <f t="shared" si="2"/>
        <v>0</v>
      </c>
      <c r="P12" s="56">
        <f t="shared" si="3"/>
        <v>1</v>
      </c>
    </row>
    <row r="13" ht="18" customHeight="1" spans="1:16">
      <c r="A13" s="89" t="s">
        <v>26</v>
      </c>
      <c r="B13" s="48">
        <v>50000</v>
      </c>
      <c r="C13" s="90">
        <v>50000</v>
      </c>
      <c r="D13" s="90">
        <v>41582</v>
      </c>
      <c r="E13" s="90">
        <v>45000</v>
      </c>
      <c r="F13" s="90">
        <v>45000</v>
      </c>
      <c r="G13" s="52">
        <f t="shared" si="5"/>
        <v>0</v>
      </c>
      <c r="H13" s="56">
        <f t="shared" si="6"/>
        <v>1</v>
      </c>
      <c r="I13" s="89" t="s">
        <v>27</v>
      </c>
      <c r="J13" s="48">
        <v>180413</v>
      </c>
      <c r="K13" s="110">
        <v>180413</v>
      </c>
      <c r="L13" s="110">
        <v>205915</v>
      </c>
      <c r="M13" s="110">
        <v>219239</v>
      </c>
      <c r="N13" s="110">
        <v>219239</v>
      </c>
      <c r="O13" s="118">
        <f t="shared" si="2"/>
        <v>0</v>
      </c>
      <c r="P13" s="56">
        <f t="shared" si="3"/>
        <v>1</v>
      </c>
    </row>
    <row r="14" ht="18" customHeight="1" spans="1:16">
      <c r="A14" s="89" t="s">
        <v>28</v>
      </c>
      <c r="B14" s="48">
        <v>87500</v>
      </c>
      <c r="C14" s="90">
        <v>87500</v>
      </c>
      <c r="D14" s="90">
        <v>55718</v>
      </c>
      <c r="E14" s="90">
        <v>63000</v>
      </c>
      <c r="F14" s="90">
        <v>63000</v>
      </c>
      <c r="G14" s="52">
        <f t="shared" si="5"/>
        <v>0</v>
      </c>
      <c r="H14" s="56">
        <f t="shared" si="6"/>
        <v>1</v>
      </c>
      <c r="I14" s="89" t="s">
        <v>29</v>
      </c>
      <c r="J14" s="48">
        <v>62277</v>
      </c>
      <c r="K14" s="110">
        <v>62277</v>
      </c>
      <c r="L14" s="110">
        <v>76905</v>
      </c>
      <c r="M14" s="110">
        <f>81282+16500-4000</f>
        <v>93782</v>
      </c>
      <c r="N14" s="110">
        <f>81282+16500-4000</f>
        <v>93782</v>
      </c>
      <c r="O14" s="118">
        <f t="shared" si="2"/>
        <v>0</v>
      </c>
      <c r="P14" s="56">
        <f t="shared" si="3"/>
        <v>1</v>
      </c>
    </row>
    <row r="15" ht="18" customHeight="1" spans="1:16">
      <c r="A15" s="89" t="s">
        <v>30</v>
      </c>
      <c r="B15" s="48">
        <v>18000</v>
      </c>
      <c r="C15" s="90">
        <v>18000</v>
      </c>
      <c r="D15" s="90">
        <v>22407</v>
      </c>
      <c r="E15" s="90">
        <v>22000</v>
      </c>
      <c r="F15" s="90">
        <v>22000</v>
      </c>
      <c r="G15" s="52">
        <f t="shared" si="5"/>
        <v>0</v>
      </c>
      <c r="H15" s="56">
        <f t="shared" si="6"/>
        <v>1</v>
      </c>
      <c r="I15" s="89" t="s">
        <v>31</v>
      </c>
      <c r="J15" s="48">
        <v>187094</v>
      </c>
      <c r="K15" s="110">
        <v>187094</v>
      </c>
      <c r="L15" s="110">
        <v>218330</v>
      </c>
      <c r="M15" s="110">
        <v>231054</v>
      </c>
      <c r="N15" s="110">
        <v>231054</v>
      </c>
      <c r="O15" s="118">
        <f t="shared" si="2"/>
        <v>0</v>
      </c>
      <c r="P15" s="56">
        <f t="shared" si="3"/>
        <v>1</v>
      </c>
    </row>
    <row r="16" ht="18" customHeight="1" spans="1:16">
      <c r="A16" s="89" t="s">
        <v>32</v>
      </c>
      <c r="B16" s="48">
        <v>47500</v>
      </c>
      <c r="C16" s="90">
        <v>47500</v>
      </c>
      <c r="D16" s="90">
        <v>30416</v>
      </c>
      <c r="E16" s="90">
        <v>36000</v>
      </c>
      <c r="F16" s="90">
        <v>36000</v>
      </c>
      <c r="G16" s="52">
        <f t="shared" si="5"/>
        <v>0</v>
      </c>
      <c r="H16" s="56">
        <f t="shared" si="6"/>
        <v>1</v>
      </c>
      <c r="I16" s="89" t="s">
        <v>33</v>
      </c>
      <c r="J16" s="48">
        <v>202034</v>
      </c>
      <c r="K16" s="110">
        <v>202034</v>
      </c>
      <c r="L16" s="110">
        <v>259210</v>
      </c>
      <c r="M16" s="110">
        <f>272469</f>
        <v>272469</v>
      </c>
      <c r="N16" s="110">
        <f>272469</f>
        <v>272469</v>
      </c>
      <c r="O16" s="118">
        <f t="shared" si="2"/>
        <v>0</v>
      </c>
      <c r="P16" s="56">
        <f t="shared" si="3"/>
        <v>1</v>
      </c>
    </row>
    <row r="17" ht="18" customHeight="1" spans="1:16">
      <c r="A17" s="89" t="s">
        <v>34</v>
      </c>
      <c r="B17" s="48">
        <v>349770</v>
      </c>
      <c r="C17" s="90">
        <v>349770</v>
      </c>
      <c r="D17" s="90">
        <v>297950</v>
      </c>
      <c r="E17" s="90">
        <v>385000</v>
      </c>
      <c r="F17" s="90">
        <v>385000</v>
      </c>
      <c r="G17" s="52">
        <f t="shared" si="5"/>
        <v>0</v>
      </c>
      <c r="H17" s="56">
        <f t="shared" si="6"/>
        <v>1</v>
      </c>
      <c r="I17" s="89" t="s">
        <v>35</v>
      </c>
      <c r="J17" s="48">
        <v>25033</v>
      </c>
      <c r="K17" s="110">
        <v>25033</v>
      </c>
      <c r="L17" s="110">
        <v>23369</v>
      </c>
      <c r="M17" s="110">
        <v>20297</v>
      </c>
      <c r="N17" s="110">
        <v>20297</v>
      </c>
      <c r="O17" s="118">
        <f t="shared" si="2"/>
        <v>0</v>
      </c>
      <c r="P17" s="56">
        <f t="shared" si="3"/>
        <v>1</v>
      </c>
    </row>
    <row r="18" ht="18" customHeight="1" spans="1:16">
      <c r="A18" s="89" t="s">
        <v>36</v>
      </c>
      <c r="B18" s="48">
        <v>9500</v>
      </c>
      <c r="C18" s="90">
        <v>9500</v>
      </c>
      <c r="D18" s="90">
        <v>10592</v>
      </c>
      <c r="E18" s="90">
        <v>15000</v>
      </c>
      <c r="F18" s="90">
        <v>15000</v>
      </c>
      <c r="G18" s="52">
        <f t="shared" si="5"/>
        <v>0</v>
      </c>
      <c r="H18" s="56">
        <f t="shared" si="6"/>
        <v>1</v>
      </c>
      <c r="I18" s="89" t="s">
        <v>37</v>
      </c>
      <c r="J18" s="48">
        <v>182656</v>
      </c>
      <c r="K18" s="110">
        <v>200656</v>
      </c>
      <c r="L18" s="110">
        <v>217333</v>
      </c>
      <c r="M18" s="110">
        <f>185719+45500</f>
        <v>231219</v>
      </c>
      <c r="N18" s="110">
        <f>185719+45500</f>
        <v>231219</v>
      </c>
      <c r="O18" s="118">
        <f t="shared" si="2"/>
        <v>0</v>
      </c>
      <c r="P18" s="56">
        <f t="shared" si="3"/>
        <v>1</v>
      </c>
    </row>
    <row r="19" ht="18" customHeight="1" spans="1:16">
      <c r="A19" s="89" t="s">
        <v>38</v>
      </c>
      <c r="B19" s="48">
        <v>5000</v>
      </c>
      <c r="C19" s="90">
        <v>5000</v>
      </c>
      <c r="D19" s="90">
        <v>5699</v>
      </c>
      <c r="E19" s="90">
        <v>8000</v>
      </c>
      <c r="F19" s="90">
        <v>8000</v>
      </c>
      <c r="G19" s="52">
        <f t="shared" si="5"/>
        <v>0</v>
      </c>
      <c r="H19" s="56">
        <f t="shared" si="6"/>
        <v>1</v>
      </c>
      <c r="I19" s="89" t="s">
        <v>39</v>
      </c>
      <c r="J19" s="48">
        <v>235207</v>
      </c>
      <c r="K19" s="110">
        <v>235207</v>
      </c>
      <c r="L19" s="110">
        <v>228952</v>
      </c>
      <c r="M19" s="110">
        <f>236808+4300</f>
        <v>241108</v>
      </c>
      <c r="N19" s="110">
        <f>236808+4300</f>
        <v>241108</v>
      </c>
      <c r="O19" s="118">
        <f t="shared" si="2"/>
        <v>0</v>
      </c>
      <c r="P19" s="56">
        <f t="shared" si="3"/>
        <v>1</v>
      </c>
    </row>
    <row r="20" ht="18" customHeight="1" spans="1:16">
      <c r="A20" s="89" t="s">
        <v>40</v>
      </c>
      <c r="B20" s="48">
        <v>185715</v>
      </c>
      <c r="C20" s="90">
        <v>185715</v>
      </c>
      <c r="D20" s="90">
        <v>194916</v>
      </c>
      <c r="E20" s="90">
        <v>200000</v>
      </c>
      <c r="F20" s="90">
        <v>200000</v>
      </c>
      <c r="G20" s="52">
        <f t="shared" si="5"/>
        <v>0</v>
      </c>
      <c r="H20" s="56">
        <f t="shared" si="6"/>
        <v>1</v>
      </c>
      <c r="I20" s="89" t="s">
        <v>41</v>
      </c>
      <c r="J20" s="48">
        <v>137952</v>
      </c>
      <c r="K20" s="110">
        <v>149952</v>
      </c>
      <c r="L20" s="110">
        <v>178346</v>
      </c>
      <c r="M20" s="110">
        <f>178255+32991</f>
        <v>211246</v>
      </c>
      <c r="N20" s="110">
        <f>178255+32991</f>
        <v>211246</v>
      </c>
      <c r="O20" s="118">
        <f t="shared" si="2"/>
        <v>0</v>
      </c>
      <c r="P20" s="56">
        <f t="shared" si="3"/>
        <v>1</v>
      </c>
    </row>
    <row r="21" ht="18" customHeight="1" spans="1:16">
      <c r="A21" s="89" t="s">
        <v>42</v>
      </c>
      <c r="B21" s="48">
        <v>625</v>
      </c>
      <c r="C21" s="90">
        <v>625</v>
      </c>
      <c r="D21" s="90">
        <v>289</v>
      </c>
      <c r="E21" s="90">
        <v>350</v>
      </c>
      <c r="F21" s="90">
        <v>350</v>
      </c>
      <c r="G21" s="52">
        <f t="shared" si="5"/>
        <v>0</v>
      </c>
      <c r="H21" s="56">
        <f t="shared" si="6"/>
        <v>1</v>
      </c>
      <c r="I21" s="89" t="s">
        <v>43</v>
      </c>
      <c r="J21" s="48">
        <v>4442</v>
      </c>
      <c r="K21" s="110">
        <v>4442</v>
      </c>
      <c r="L21" s="110">
        <v>5541</v>
      </c>
      <c r="M21" s="110">
        <v>5237</v>
      </c>
      <c r="N21" s="110">
        <v>5237</v>
      </c>
      <c r="O21" s="118">
        <f t="shared" si="2"/>
        <v>0</v>
      </c>
      <c r="P21" s="56">
        <f t="shared" si="3"/>
        <v>1</v>
      </c>
    </row>
    <row r="22" ht="18" customHeight="1" spans="1:16">
      <c r="A22" s="89" t="s">
        <v>44</v>
      </c>
      <c r="B22" s="48"/>
      <c r="C22" s="90"/>
      <c r="D22" s="90">
        <v>802</v>
      </c>
      <c r="E22" s="90"/>
      <c r="F22" s="90"/>
      <c r="G22" s="52">
        <f t="shared" si="5"/>
        <v>0</v>
      </c>
      <c r="H22" s="56"/>
      <c r="I22" s="89" t="s">
        <v>45</v>
      </c>
      <c r="J22" s="48">
        <v>5779</v>
      </c>
      <c r="K22" s="110">
        <v>5779</v>
      </c>
      <c r="L22" s="110">
        <v>16924</v>
      </c>
      <c r="M22" s="110">
        <v>8250</v>
      </c>
      <c r="N22" s="110">
        <v>8250</v>
      </c>
      <c r="O22" s="118">
        <f t="shared" si="2"/>
        <v>0</v>
      </c>
      <c r="P22" s="56">
        <f t="shared" si="3"/>
        <v>1</v>
      </c>
    </row>
    <row r="23" ht="18" customHeight="1" spans="1:16">
      <c r="A23" s="88" t="s">
        <v>46</v>
      </c>
      <c r="B23" s="48">
        <f t="shared" ref="B23:F23" si="7">SUM(B24:B31)</f>
        <v>353554</v>
      </c>
      <c r="C23" s="49">
        <f t="shared" si="7"/>
        <v>353554</v>
      </c>
      <c r="D23" s="49">
        <f t="shared" si="7"/>
        <v>414533</v>
      </c>
      <c r="E23" s="49">
        <f t="shared" si="7"/>
        <v>385952</v>
      </c>
      <c r="F23" s="49">
        <f t="shared" si="7"/>
        <v>385952</v>
      </c>
      <c r="G23" s="52">
        <f t="shared" si="5"/>
        <v>0</v>
      </c>
      <c r="H23" s="56">
        <f t="shared" si="6"/>
        <v>1</v>
      </c>
      <c r="I23" s="89" t="s">
        <v>47</v>
      </c>
      <c r="J23" s="48">
        <v>6210</v>
      </c>
      <c r="K23" s="110">
        <v>6210</v>
      </c>
      <c r="L23" s="110">
        <v>5331</v>
      </c>
      <c r="M23" s="110">
        <v>17324</v>
      </c>
      <c r="N23" s="110">
        <v>17324</v>
      </c>
      <c r="O23" s="118">
        <f t="shared" si="2"/>
        <v>0</v>
      </c>
      <c r="P23" s="56">
        <f t="shared" si="3"/>
        <v>1</v>
      </c>
    </row>
    <row r="24" ht="18" customHeight="1" spans="1:16">
      <c r="A24" s="89" t="s">
        <v>48</v>
      </c>
      <c r="B24" s="48">
        <v>223300</v>
      </c>
      <c r="C24" s="90">
        <v>223300</v>
      </c>
      <c r="D24" s="90">
        <v>316296</v>
      </c>
      <c r="E24" s="90">
        <v>275952</v>
      </c>
      <c r="F24" s="90">
        <v>275952</v>
      </c>
      <c r="G24" s="52">
        <f t="shared" si="5"/>
        <v>0</v>
      </c>
      <c r="H24" s="56">
        <f t="shared" si="6"/>
        <v>1</v>
      </c>
      <c r="I24" s="89" t="s">
        <v>49</v>
      </c>
      <c r="J24" s="48">
        <v>22931</v>
      </c>
      <c r="K24" s="110">
        <v>22931</v>
      </c>
      <c r="L24" s="110">
        <v>32592</v>
      </c>
      <c r="M24" s="110">
        <v>128344</v>
      </c>
      <c r="N24" s="110">
        <v>128344</v>
      </c>
      <c r="O24" s="118">
        <f t="shared" si="2"/>
        <v>0</v>
      </c>
      <c r="P24" s="56">
        <f t="shared" si="3"/>
        <v>1</v>
      </c>
    </row>
    <row r="25" ht="18" customHeight="1" spans="1:16">
      <c r="A25" s="89" t="s">
        <v>50</v>
      </c>
      <c r="B25" s="48">
        <v>14000</v>
      </c>
      <c r="C25" s="90">
        <v>14000</v>
      </c>
      <c r="D25" s="90">
        <v>30224</v>
      </c>
      <c r="E25" s="90">
        <v>30000</v>
      </c>
      <c r="F25" s="90">
        <v>30000</v>
      </c>
      <c r="G25" s="52">
        <f t="shared" si="5"/>
        <v>0</v>
      </c>
      <c r="H25" s="56">
        <f t="shared" si="6"/>
        <v>1</v>
      </c>
      <c r="I25" s="89" t="s">
        <v>51</v>
      </c>
      <c r="J25" s="48">
        <v>38615</v>
      </c>
      <c r="K25" s="110">
        <v>38615</v>
      </c>
      <c r="L25" s="110">
        <v>40418</v>
      </c>
      <c r="M25" s="110">
        <v>32357</v>
      </c>
      <c r="N25" s="110">
        <v>32357</v>
      </c>
      <c r="O25" s="118">
        <f t="shared" si="2"/>
        <v>0</v>
      </c>
      <c r="P25" s="56">
        <f t="shared" si="3"/>
        <v>1</v>
      </c>
    </row>
    <row r="26" ht="18" customHeight="1" spans="1:16">
      <c r="A26" s="89" t="s">
        <v>52</v>
      </c>
      <c r="B26" s="48">
        <v>94954</v>
      </c>
      <c r="C26" s="90">
        <v>94954</v>
      </c>
      <c r="D26" s="90">
        <v>21553</v>
      </c>
      <c r="E26" s="90">
        <v>40000</v>
      </c>
      <c r="F26" s="90">
        <v>40000</v>
      </c>
      <c r="G26" s="52">
        <f t="shared" si="5"/>
        <v>0</v>
      </c>
      <c r="H26" s="56">
        <f t="shared" si="6"/>
        <v>1</v>
      </c>
      <c r="I26" s="89" t="s">
        <v>53</v>
      </c>
      <c r="J26" s="48">
        <v>3471</v>
      </c>
      <c r="K26" s="110">
        <v>3471</v>
      </c>
      <c r="L26" s="110">
        <v>885</v>
      </c>
      <c r="M26" s="110">
        <v>978</v>
      </c>
      <c r="N26" s="110">
        <v>978</v>
      </c>
      <c r="O26" s="118">
        <f t="shared" si="2"/>
        <v>0</v>
      </c>
      <c r="P26" s="56">
        <f t="shared" si="3"/>
        <v>1</v>
      </c>
    </row>
    <row r="27" ht="18" customHeight="1" spans="1:16">
      <c r="A27" s="89" t="s">
        <v>54</v>
      </c>
      <c r="B27" s="48"/>
      <c r="C27" s="90"/>
      <c r="D27" s="90">
        <v>-20</v>
      </c>
      <c r="E27" s="90"/>
      <c r="F27" s="90"/>
      <c r="G27" s="52">
        <f t="shared" si="5"/>
        <v>0</v>
      </c>
      <c r="H27" s="56"/>
      <c r="I27" s="89" t="s">
        <v>55</v>
      </c>
      <c r="J27" s="48">
        <v>18590</v>
      </c>
      <c r="K27" s="110">
        <v>18590</v>
      </c>
      <c r="L27" s="110">
        <v>21463</v>
      </c>
      <c r="M27" s="110">
        <v>19539</v>
      </c>
      <c r="N27" s="110">
        <v>19539</v>
      </c>
      <c r="O27" s="118">
        <f t="shared" si="2"/>
        <v>0</v>
      </c>
      <c r="P27" s="56">
        <f t="shared" si="3"/>
        <v>1</v>
      </c>
    </row>
    <row r="28" ht="18" customHeight="1" spans="1:16">
      <c r="A28" s="89" t="s">
        <v>56</v>
      </c>
      <c r="B28" s="48">
        <v>17400</v>
      </c>
      <c r="C28" s="90">
        <v>17400</v>
      </c>
      <c r="D28" s="90">
        <v>35501</v>
      </c>
      <c r="E28" s="90">
        <v>33000</v>
      </c>
      <c r="F28" s="90">
        <v>33000</v>
      </c>
      <c r="G28" s="52">
        <f t="shared" si="5"/>
        <v>0</v>
      </c>
      <c r="H28" s="56">
        <f t="shared" si="6"/>
        <v>1</v>
      </c>
      <c r="I28" s="89" t="s">
        <v>57</v>
      </c>
      <c r="J28" s="48">
        <v>102135</v>
      </c>
      <c r="K28" s="110">
        <v>102135</v>
      </c>
      <c r="L28" s="110">
        <v>146007</v>
      </c>
      <c r="M28" s="110">
        <f>141691-9708</f>
        <v>131983</v>
      </c>
      <c r="N28" s="110">
        <f>141691-9708</f>
        <v>131983</v>
      </c>
      <c r="O28" s="118">
        <f t="shared" si="2"/>
        <v>0</v>
      </c>
      <c r="P28" s="56">
        <f t="shared" si="3"/>
        <v>1</v>
      </c>
    </row>
    <row r="29" ht="18" customHeight="1" spans="1:16">
      <c r="A29" s="89" t="s">
        <v>58</v>
      </c>
      <c r="B29" s="48"/>
      <c r="C29" s="90"/>
      <c r="D29" s="90"/>
      <c r="E29" s="90"/>
      <c r="F29" s="90"/>
      <c r="G29" s="52">
        <f t="shared" si="5"/>
        <v>0</v>
      </c>
      <c r="H29" s="56"/>
      <c r="I29" s="89" t="s">
        <v>59</v>
      </c>
      <c r="J29" s="48">
        <v>47478</v>
      </c>
      <c r="K29" s="110">
        <v>47478</v>
      </c>
      <c r="L29" s="110">
        <v>50536</v>
      </c>
      <c r="M29" s="110">
        <v>53000</v>
      </c>
      <c r="N29" s="110">
        <v>53000</v>
      </c>
      <c r="O29" s="118">
        <f t="shared" si="2"/>
        <v>0</v>
      </c>
      <c r="P29" s="56">
        <f t="shared" si="3"/>
        <v>1</v>
      </c>
    </row>
    <row r="30" ht="18" customHeight="1" spans="1:16">
      <c r="A30" s="89" t="s">
        <v>60</v>
      </c>
      <c r="B30" s="48">
        <v>2400</v>
      </c>
      <c r="C30" s="90">
        <v>2400</v>
      </c>
      <c r="D30" s="90">
        <v>2969</v>
      </c>
      <c r="E30" s="90">
        <v>3000</v>
      </c>
      <c r="F30" s="90">
        <v>3000</v>
      </c>
      <c r="G30" s="52">
        <f t="shared" si="5"/>
        <v>0</v>
      </c>
      <c r="H30" s="56">
        <f t="shared" si="6"/>
        <v>1</v>
      </c>
      <c r="I30" s="89" t="s">
        <v>61</v>
      </c>
      <c r="J30" s="48">
        <v>55</v>
      </c>
      <c r="K30" s="110">
        <v>55</v>
      </c>
      <c r="L30" s="110">
        <v>109</v>
      </c>
      <c r="M30" s="110">
        <v>155</v>
      </c>
      <c r="N30" s="110">
        <v>155</v>
      </c>
      <c r="O30" s="118">
        <f t="shared" si="2"/>
        <v>0</v>
      </c>
      <c r="P30" s="56">
        <f t="shared" si="3"/>
        <v>1</v>
      </c>
    </row>
    <row r="31" ht="18" customHeight="1" spans="1:16">
      <c r="A31" s="89" t="s">
        <v>62</v>
      </c>
      <c r="B31" s="48">
        <v>1500</v>
      </c>
      <c r="C31" s="90">
        <v>1500</v>
      </c>
      <c r="D31" s="90">
        <v>8010</v>
      </c>
      <c r="E31" s="90">
        <v>4000</v>
      </c>
      <c r="F31" s="90">
        <v>4000</v>
      </c>
      <c r="G31" s="52">
        <f t="shared" si="5"/>
        <v>0</v>
      </c>
      <c r="H31" s="56">
        <f t="shared" si="6"/>
        <v>1</v>
      </c>
      <c r="I31" s="48"/>
      <c r="J31" s="48"/>
      <c r="K31" s="110"/>
      <c r="L31" s="110"/>
      <c r="M31" s="110"/>
      <c r="N31" s="110"/>
      <c r="O31" s="118"/>
      <c r="P31" s="108"/>
    </row>
    <row r="32" s="36" customFormat="1" ht="18" customHeight="1" spans="1:16">
      <c r="A32" s="91"/>
      <c r="B32" s="43"/>
      <c r="C32" s="44"/>
      <c r="D32" s="44"/>
      <c r="E32" s="44"/>
      <c r="F32" s="44"/>
      <c r="G32" s="45"/>
      <c r="H32" s="112"/>
      <c r="I32" s="87" t="s">
        <v>63</v>
      </c>
      <c r="J32" s="43">
        <v>22000</v>
      </c>
      <c r="K32" s="117">
        <v>22000</v>
      </c>
      <c r="L32" s="117"/>
      <c r="M32" s="117">
        <v>26000</v>
      </c>
      <c r="N32" s="117">
        <v>26000</v>
      </c>
      <c r="O32" s="115">
        <f t="shared" ref="O32:O35" si="8">N32-M32</f>
        <v>0</v>
      </c>
      <c r="P32" s="116">
        <f t="shared" ref="P32:P35" si="9">N32/M32</f>
        <v>1</v>
      </c>
    </row>
    <row r="33" ht="10" customHeight="1" spans="1:16">
      <c r="A33" s="89"/>
      <c r="B33" s="48"/>
      <c r="C33" s="49"/>
      <c r="D33" s="49"/>
      <c r="E33" s="49"/>
      <c r="F33" s="49"/>
      <c r="G33" s="52"/>
      <c r="H33" s="108"/>
      <c r="I33" s="91"/>
      <c r="J33" s="48"/>
      <c r="K33" s="110"/>
      <c r="L33" s="110"/>
      <c r="M33" s="110"/>
      <c r="N33" s="110"/>
      <c r="O33" s="118"/>
      <c r="P33" s="108"/>
    </row>
    <row r="34" s="36" customFormat="1" ht="18" customHeight="1" spans="1:16">
      <c r="A34" s="93" t="s">
        <v>64</v>
      </c>
      <c r="B34" s="43">
        <f t="shared" ref="B34:F34" si="10">SUM(B35:B38)</f>
        <v>81000</v>
      </c>
      <c r="C34" s="44">
        <f t="shared" si="10"/>
        <v>121000</v>
      </c>
      <c r="D34" s="44">
        <f t="shared" si="10"/>
        <v>121000</v>
      </c>
      <c r="E34" s="44">
        <f t="shared" si="10"/>
        <v>342279</v>
      </c>
      <c r="F34" s="44">
        <f t="shared" si="10"/>
        <v>367279</v>
      </c>
      <c r="G34" s="115">
        <f t="shared" ref="G34:G40" si="11">F34-E34</f>
        <v>25000</v>
      </c>
      <c r="H34" s="116">
        <f t="shared" ref="H34:H40" si="12">F34/E34</f>
        <v>1.07303983008014</v>
      </c>
      <c r="I34" s="93" t="s">
        <v>65</v>
      </c>
      <c r="J34" s="43">
        <f t="shared" ref="J34:N34" si="13">SUM(J35:J36)</f>
        <v>71400</v>
      </c>
      <c r="K34" s="117">
        <f t="shared" si="13"/>
        <v>71400</v>
      </c>
      <c r="L34" s="117">
        <f t="shared" si="13"/>
        <v>71400</v>
      </c>
      <c r="M34" s="117">
        <f t="shared" si="13"/>
        <v>233031</v>
      </c>
      <c r="N34" s="117">
        <f t="shared" si="13"/>
        <v>258031</v>
      </c>
      <c r="O34" s="115">
        <f t="shared" si="8"/>
        <v>25000</v>
      </c>
      <c r="P34" s="116">
        <f t="shared" si="9"/>
        <v>1.10728186378636</v>
      </c>
    </row>
    <row r="35" ht="18" customHeight="1" spans="1:16">
      <c r="A35" s="58" t="s">
        <v>66</v>
      </c>
      <c r="B35" s="48">
        <v>10000</v>
      </c>
      <c r="C35" s="94">
        <f>10000+40000</f>
        <v>50000</v>
      </c>
      <c r="D35" s="94">
        <v>50000</v>
      </c>
      <c r="E35" s="90">
        <v>109499</v>
      </c>
      <c r="F35" s="90">
        <v>109499</v>
      </c>
      <c r="G35" s="52">
        <f t="shared" si="11"/>
        <v>0</v>
      </c>
      <c r="H35" s="56">
        <f t="shared" si="12"/>
        <v>1</v>
      </c>
      <c r="I35" s="60" t="s">
        <v>67</v>
      </c>
      <c r="J35" s="48">
        <v>71400</v>
      </c>
      <c r="K35" s="110">
        <v>71400</v>
      </c>
      <c r="L35" s="110">
        <v>71400</v>
      </c>
      <c r="M35" s="63">
        <v>233031</v>
      </c>
      <c r="N35" s="63">
        <f>233031+25000</f>
        <v>258031</v>
      </c>
      <c r="O35" s="118">
        <f t="shared" si="8"/>
        <v>25000</v>
      </c>
      <c r="P35" s="56">
        <f t="shared" si="9"/>
        <v>1.10728186378636</v>
      </c>
    </row>
    <row r="36" ht="18" customHeight="1" spans="1:16">
      <c r="A36" s="58" t="s">
        <v>68</v>
      </c>
      <c r="B36" s="48"/>
      <c r="C36" s="94"/>
      <c r="D36" s="94"/>
      <c r="E36" s="90"/>
      <c r="F36" s="90"/>
      <c r="G36" s="52"/>
      <c r="H36" s="108"/>
      <c r="I36" s="60" t="s">
        <v>69</v>
      </c>
      <c r="J36" s="48"/>
      <c r="K36" s="110"/>
      <c r="L36" s="110"/>
      <c r="M36" s="110"/>
      <c r="N36" s="110"/>
      <c r="O36" s="118"/>
      <c r="P36" s="108"/>
    </row>
    <row r="37" ht="18" customHeight="1" spans="1:16">
      <c r="A37" s="58" t="s">
        <v>70</v>
      </c>
      <c r="B37" s="48"/>
      <c r="C37" s="94"/>
      <c r="D37" s="94"/>
      <c r="E37" s="90"/>
      <c r="F37" s="90"/>
      <c r="G37" s="52"/>
      <c r="H37" s="108"/>
      <c r="I37" s="48"/>
      <c r="J37" s="48"/>
      <c r="K37" s="110"/>
      <c r="L37" s="110"/>
      <c r="M37" s="110"/>
      <c r="N37" s="110"/>
      <c r="O37" s="118"/>
      <c r="P37" s="108"/>
    </row>
    <row r="38" ht="18" customHeight="1" spans="1:16">
      <c r="A38" s="58" t="s">
        <v>71</v>
      </c>
      <c r="B38" s="48">
        <v>71000</v>
      </c>
      <c r="C38" s="94">
        <v>71000</v>
      </c>
      <c r="D38" s="94">
        <v>71000</v>
      </c>
      <c r="E38" s="90">
        <v>232780</v>
      </c>
      <c r="F38" s="90">
        <f>232780+25000</f>
        <v>257780</v>
      </c>
      <c r="G38" s="52">
        <f t="shared" si="11"/>
        <v>25000</v>
      </c>
      <c r="H38" s="56">
        <f t="shared" si="12"/>
        <v>1.10739754274422</v>
      </c>
      <c r="I38" s="48"/>
      <c r="J38" s="48"/>
      <c r="K38" s="110"/>
      <c r="L38" s="110"/>
      <c r="M38" s="110"/>
      <c r="N38" s="110"/>
      <c r="O38" s="118"/>
      <c r="P38" s="108"/>
    </row>
    <row r="39" s="36" customFormat="1" ht="18.5" customHeight="1" spans="1:16">
      <c r="A39" s="93" t="s">
        <v>72</v>
      </c>
      <c r="B39" s="43">
        <f t="shared" ref="B39:F39" si="14">B40+B65+B66+B67</f>
        <v>821730</v>
      </c>
      <c r="C39" s="44">
        <f t="shared" si="14"/>
        <v>821730</v>
      </c>
      <c r="D39" s="44">
        <f t="shared" si="14"/>
        <v>1558379</v>
      </c>
      <c r="E39" s="44">
        <f t="shared" si="14"/>
        <v>1253439</v>
      </c>
      <c r="F39" s="44">
        <f t="shared" si="14"/>
        <v>1253439</v>
      </c>
      <c r="G39" s="115">
        <f t="shared" si="11"/>
        <v>0</v>
      </c>
      <c r="H39" s="116">
        <f t="shared" si="12"/>
        <v>1</v>
      </c>
      <c r="I39" s="93" t="s">
        <v>73</v>
      </c>
      <c r="J39" s="43">
        <f t="shared" ref="J39:N39" si="15">J40+J43+J44+J45+J46</f>
        <v>329486</v>
      </c>
      <c r="K39" s="117">
        <f t="shared" si="15"/>
        <v>329486</v>
      </c>
      <c r="L39" s="117">
        <f t="shared" si="15"/>
        <v>757125</v>
      </c>
      <c r="M39" s="117">
        <f t="shared" si="15"/>
        <v>325050</v>
      </c>
      <c r="N39" s="117">
        <f t="shared" si="15"/>
        <v>325050</v>
      </c>
      <c r="O39" s="115">
        <f t="shared" ref="O39:O42" si="16">N39-M39</f>
        <v>0</v>
      </c>
      <c r="P39" s="116">
        <f t="shared" ref="P39:P42" si="17">N39/M39</f>
        <v>1</v>
      </c>
    </row>
    <row r="40" ht="18.5" customHeight="1" spans="1:16">
      <c r="A40" s="60" t="s">
        <v>74</v>
      </c>
      <c r="B40" s="48">
        <f t="shared" ref="B40:F40" si="18">B41+B47+B64</f>
        <v>567791</v>
      </c>
      <c r="C40" s="49">
        <f t="shared" si="18"/>
        <v>567791</v>
      </c>
      <c r="D40" s="49">
        <f t="shared" si="18"/>
        <v>1283906</v>
      </c>
      <c r="E40" s="49">
        <f t="shared" si="18"/>
        <v>841389</v>
      </c>
      <c r="F40" s="49">
        <f t="shared" si="18"/>
        <v>841389</v>
      </c>
      <c r="G40" s="52">
        <f t="shared" si="11"/>
        <v>0</v>
      </c>
      <c r="H40" s="56">
        <f t="shared" si="12"/>
        <v>1</v>
      </c>
      <c r="I40" s="60" t="s">
        <v>75</v>
      </c>
      <c r="J40" s="48">
        <f t="shared" ref="J40:N40" si="19">SUM(J41:J42)</f>
        <v>325050</v>
      </c>
      <c r="K40" s="110">
        <f t="shared" si="19"/>
        <v>325050</v>
      </c>
      <c r="L40" s="110">
        <f t="shared" si="19"/>
        <v>347082</v>
      </c>
      <c r="M40" s="110">
        <f t="shared" si="19"/>
        <v>325050</v>
      </c>
      <c r="N40" s="110">
        <f t="shared" si="19"/>
        <v>325050</v>
      </c>
      <c r="O40" s="118">
        <f t="shared" si="16"/>
        <v>0</v>
      </c>
      <c r="P40" s="56">
        <f t="shared" si="17"/>
        <v>1</v>
      </c>
    </row>
    <row r="41" ht="18.5" customHeight="1" spans="1:16">
      <c r="A41" s="60" t="s">
        <v>76</v>
      </c>
      <c r="B41" s="48">
        <f t="shared" ref="B41:F41" si="20">SUM(B42:B46)</f>
        <v>108507</v>
      </c>
      <c r="C41" s="49">
        <f t="shared" si="20"/>
        <v>108507</v>
      </c>
      <c r="D41" s="49">
        <f t="shared" si="20"/>
        <v>108507</v>
      </c>
      <c r="E41" s="49">
        <f t="shared" si="20"/>
        <v>108507</v>
      </c>
      <c r="F41" s="49">
        <f t="shared" si="20"/>
        <v>108507</v>
      </c>
      <c r="G41" s="52"/>
      <c r="H41" s="108"/>
      <c r="I41" s="48" t="s">
        <v>77</v>
      </c>
      <c r="J41" s="48">
        <v>292509</v>
      </c>
      <c r="K41" s="63">
        <v>292509</v>
      </c>
      <c r="L41" s="63">
        <v>292509</v>
      </c>
      <c r="M41" s="63">
        <v>292509</v>
      </c>
      <c r="N41" s="63">
        <v>292509</v>
      </c>
      <c r="O41" s="118">
        <f t="shared" si="16"/>
        <v>0</v>
      </c>
      <c r="P41" s="56">
        <f t="shared" si="17"/>
        <v>1</v>
      </c>
    </row>
    <row r="42" ht="18.5" customHeight="1" spans="1:16">
      <c r="A42" s="60" t="s">
        <v>78</v>
      </c>
      <c r="B42" s="48">
        <v>4040</v>
      </c>
      <c r="C42" s="90">
        <v>4040</v>
      </c>
      <c r="D42" s="49">
        <v>4040</v>
      </c>
      <c r="E42" s="49">
        <v>4040</v>
      </c>
      <c r="F42" s="49">
        <v>4040</v>
      </c>
      <c r="G42" s="52"/>
      <c r="H42" s="108"/>
      <c r="I42" s="48" t="s">
        <v>79</v>
      </c>
      <c r="J42" s="48">
        <v>32541</v>
      </c>
      <c r="K42" s="63">
        <v>32541</v>
      </c>
      <c r="L42" s="63">
        <f>J42+22032</f>
        <v>54573</v>
      </c>
      <c r="M42" s="63">
        <v>32541</v>
      </c>
      <c r="N42" s="63">
        <v>32541</v>
      </c>
      <c r="O42" s="118">
        <f t="shared" si="16"/>
        <v>0</v>
      </c>
      <c r="P42" s="56">
        <f t="shared" si="17"/>
        <v>1</v>
      </c>
    </row>
    <row r="43" ht="18.5" customHeight="1" spans="1:16">
      <c r="A43" s="60" t="s">
        <v>80</v>
      </c>
      <c r="B43" s="48"/>
      <c r="C43" s="90"/>
      <c r="D43" s="49"/>
      <c r="E43" s="49"/>
      <c r="F43" s="49"/>
      <c r="G43" s="52"/>
      <c r="H43" s="108"/>
      <c r="I43" s="60" t="s">
        <v>81</v>
      </c>
      <c r="J43" s="48"/>
      <c r="K43" s="110"/>
      <c r="L43" s="110"/>
      <c r="M43" s="110"/>
      <c r="N43" s="110"/>
      <c r="O43" s="118"/>
      <c r="P43" s="108"/>
    </row>
    <row r="44" ht="18.5" customHeight="1" spans="1:16">
      <c r="A44" s="60" t="s">
        <v>82</v>
      </c>
      <c r="B44" s="48">
        <v>2840</v>
      </c>
      <c r="C44" s="90">
        <v>2840</v>
      </c>
      <c r="D44" s="49">
        <v>2840</v>
      </c>
      <c r="E44" s="49">
        <v>2840</v>
      </c>
      <c r="F44" s="49">
        <v>2840</v>
      </c>
      <c r="G44" s="52"/>
      <c r="H44" s="108"/>
      <c r="I44" s="60" t="s">
        <v>83</v>
      </c>
      <c r="J44" s="48"/>
      <c r="K44" s="110"/>
      <c r="L44" s="110"/>
      <c r="M44" s="110"/>
      <c r="N44" s="110"/>
      <c r="O44" s="118"/>
      <c r="P44" s="108"/>
    </row>
    <row r="45" ht="18.5" customHeight="1" spans="1:16">
      <c r="A45" s="60" t="s">
        <v>84</v>
      </c>
      <c r="B45" s="48">
        <v>875</v>
      </c>
      <c r="C45" s="90">
        <v>875</v>
      </c>
      <c r="D45" s="49">
        <v>875</v>
      </c>
      <c r="E45" s="49">
        <v>875</v>
      </c>
      <c r="F45" s="49">
        <v>875</v>
      </c>
      <c r="G45" s="52"/>
      <c r="H45" s="108"/>
      <c r="I45" s="60" t="s">
        <v>85</v>
      </c>
      <c r="J45" s="48"/>
      <c r="K45" s="110"/>
      <c r="L45" s="63">
        <v>113097</v>
      </c>
      <c r="M45" s="110"/>
      <c r="N45" s="110"/>
      <c r="O45" s="118">
        <f>N45-M45</f>
        <v>0</v>
      </c>
      <c r="P45" s="56"/>
    </row>
    <row r="46" ht="18.5" customHeight="1" spans="1:16">
      <c r="A46" s="60" t="s">
        <v>86</v>
      </c>
      <c r="B46" s="48">
        <v>100752</v>
      </c>
      <c r="C46" s="90">
        <v>100752</v>
      </c>
      <c r="D46" s="49">
        <v>100752</v>
      </c>
      <c r="E46" s="49">
        <v>100752</v>
      </c>
      <c r="F46" s="49">
        <v>100752</v>
      </c>
      <c r="G46" s="52"/>
      <c r="H46" s="108"/>
      <c r="I46" s="60" t="s">
        <v>87</v>
      </c>
      <c r="J46" s="48">
        <v>4436</v>
      </c>
      <c r="K46" s="63">
        <f>1965+2471</f>
        <v>4436</v>
      </c>
      <c r="L46" s="63">
        <v>296946</v>
      </c>
      <c r="M46" s="110"/>
      <c r="N46" s="110"/>
      <c r="O46" s="118">
        <f>N46-M46</f>
        <v>0</v>
      </c>
      <c r="P46" s="56"/>
    </row>
    <row r="47" ht="18.5" customHeight="1" spans="1:16">
      <c r="A47" s="60" t="s">
        <v>88</v>
      </c>
      <c r="B47" s="48">
        <f t="shared" ref="B47:F47" si="21">SUM(B48:B63)</f>
        <v>366522</v>
      </c>
      <c r="C47" s="49">
        <f t="shared" si="21"/>
        <v>366522</v>
      </c>
      <c r="D47" s="49">
        <f t="shared" si="21"/>
        <v>712025</v>
      </c>
      <c r="E47" s="49">
        <f t="shared" si="21"/>
        <v>603907</v>
      </c>
      <c r="F47" s="49">
        <f t="shared" si="21"/>
        <v>603907</v>
      </c>
      <c r="G47" s="52">
        <f t="shared" ref="G47:G53" si="22">F47-E47</f>
        <v>0</v>
      </c>
      <c r="H47" s="56">
        <f t="shared" ref="H47:H53" si="23">F47/E47</f>
        <v>1</v>
      </c>
      <c r="I47" s="48"/>
      <c r="J47" s="48"/>
      <c r="K47" s="110"/>
      <c r="L47" s="110"/>
      <c r="M47" s="110"/>
      <c r="N47" s="110"/>
      <c r="O47" s="118"/>
      <c r="P47" s="108"/>
    </row>
    <row r="48" ht="18.5" customHeight="1" spans="1:16">
      <c r="A48" s="60" t="s">
        <v>89</v>
      </c>
      <c r="B48" s="48">
        <v>41736</v>
      </c>
      <c r="C48" s="90">
        <v>41736</v>
      </c>
      <c r="D48" s="57">
        <v>58856</v>
      </c>
      <c r="E48" s="90">
        <v>41010</v>
      </c>
      <c r="F48" s="90">
        <v>41010</v>
      </c>
      <c r="G48" s="52">
        <f t="shared" si="22"/>
        <v>0</v>
      </c>
      <c r="H48" s="56">
        <f t="shared" si="23"/>
        <v>1</v>
      </c>
      <c r="I48" s="48"/>
      <c r="J48" s="48"/>
      <c r="K48" s="110"/>
      <c r="L48" s="110"/>
      <c r="M48" s="110"/>
      <c r="N48" s="110"/>
      <c r="O48" s="118"/>
      <c r="P48" s="108"/>
    </row>
    <row r="49" ht="18.5" customHeight="1" spans="1:16">
      <c r="A49" s="60" t="s">
        <v>90</v>
      </c>
      <c r="B49" s="48">
        <v>10612</v>
      </c>
      <c r="C49" s="90">
        <v>10612</v>
      </c>
      <c r="D49" s="57">
        <v>10249</v>
      </c>
      <c r="E49" s="90">
        <v>8076</v>
      </c>
      <c r="F49" s="90">
        <v>8076</v>
      </c>
      <c r="G49" s="52">
        <f t="shared" si="22"/>
        <v>0</v>
      </c>
      <c r="H49" s="56">
        <f t="shared" si="23"/>
        <v>1</v>
      </c>
      <c r="I49" s="48"/>
      <c r="J49" s="48"/>
      <c r="K49" s="110"/>
      <c r="L49" s="110"/>
      <c r="M49" s="110"/>
      <c r="N49" s="110"/>
      <c r="O49" s="118"/>
      <c r="P49" s="108"/>
    </row>
    <row r="50" ht="18.5" customHeight="1" spans="1:16">
      <c r="A50" s="60" t="s">
        <v>91</v>
      </c>
      <c r="B50" s="48">
        <v>25195</v>
      </c>
      <c r="C50" s="90">
        <v>25195</v>
      </c>
      <c r="D50" s="57">
        <v>270641</v>
      </c>
      <c r="E50" s="90">
        <v>210250</v>
      </c>
      <c r="F50" s="90">
        <v>210250</v>
      </c>
      <c r="G50" s="52">
        <f t="shared" si="22"/>
        <v>0</v>
      </c>
      <c r="H50" s="56">
        <f t="shared" si="23"/>
        <v>1</v>
      </c>
      <c r="I50" s="48"/>
      <c r="J50" s="48"/>
      <c r="K50" s="110"/>
      <c r="L50" s="110"/>
      <c r="M50" s="110"/>
      <c r="N50" s="110"/>
      <c r="O50" s="118"/>
      <c r="P50" s="108"/>
    </row>
    <row r="51" ht="18.5" customHeight="1" spans="1:16">
      <c r="A51" s="60" t="s">
        <v>92</v>
      </c>
      <c r="B51" s="48"/>
      <c r="C51" s="90"/>
      <c r="D51" s="57"/>
      <c r="E51" s="90">
        <v>0</v>
      </c>
      <c r="F51" s="90">
        <v>0</v>
      </c>
      <c r="G51" s="52"/>
      <c r="H51" s="108"/>
      <c r="I51" s="48"/>
      <c r="J51" s="48"/>
      <c r="K51" s="110"/>
      <c r="L51" s="110"/>
      <c r="M51" s="110"/>
      <c r="N51" s="110"/>
      <c r="O51" s="118"/>
      <c r="P51" s="108"/>
    </row>
    <row r="52" ht="18.5" customHeight="1" spans="1:16">
      <c r="A52" s="60" t="s">
        <v>93</v>
      </c>
      <c r="B52" s="48">
        <v>2700</v>
      </c>
      <c r="C52" s="90">
        <v>2700</v>
      </c>
      <c r="D52" s="57">
        <v>3000</v>
      </c>
      <c r="E52" s="90">
        <v>2700</v>
      </c>
      <c r="F52" s="90">
        <v>2700</v>
      </c>
      <c r="G52" s="52">
        <f t="shared" si="22"/>
        <v>0</v>
      </c>
      <c r="H52" s="56">
        <f t="shared" si="23"/>
        <v>1</v>
      </c>
      <c r="I52" s="48"/>
      <c r="J52" s="48"/>
      <c r="K52" s="110"/>
      <c r="L52" s="110"/>
      <c r="M52" s="110"/>
      <c r="N52" s="110"/>
      <c r="O52" s="118"/>
      <c r="P52" s="108"/>
    </row>
    <row r="53" ht="18.5" customHeight="1" spans="1:16">
      <c r="A53" s="60" t="s">
        <v>94</v>
      </c>
      <c r="B53" s="48">
        <v>11816</v>
      </c>
      <c r="C53" s="90">
        <v>11816</v>
      </c>
      <c r="D53" s="57">
        <v>14390</v>
      </c>
      <c r="E53" s="90">
        <v>12344</v>
      </c>
      <c r="F53" s="90">
        <v>12344</v>
      </c>
      <c r="G53" s="52">
        <f t="shared" si="22"/>
        <v>0</v>
      </c>
      <c r="H53" s="56">
        <f t="shared" si="23"/>
        <v>1</v>
      </c>
      <c r="I53" s="48"/>
      <c r="J53" s="48"/>
      <c r="K53" s="110"/>
      <c r="L53" s="110"/>
      <c r="M53" s="110"/>
      <c r="N53" s="110"/>
      <c r="O53" s="118"/>
      <c r="P53" s="108"/>
    </row>
    <row r="54" ht="18.5" customHeight="1" spans="1:16">
      <c r="A54" s="60" t="s">
        <v>95</v>
      </c>
      <c r="B54" s="48">
        <v>144680</v>
      </c>
      <c r="C54" s="90">
        <v>144680</v>
      </c>
      <c r="D54" s="57">
        <v>144680</v>
      </c>
      <c r="E54" s="90">
        <v>144680</v>
      </c>
      <c r="F54" s="90">
        <v>144680</v>
      </c>
      <c r="G54" s="52"/>
      <c r="H54" s="108"/>
      <c r="I54" s="48"/>
      <c r="J54" s="48"/>
      <c r="K54" s="110"/>
      <c r="L54" s="110"/>
      <c r="M54" s="110"/>
      <c r="N54" s="110"/>
      <c r="O54" s="118"/>
      <c r="P54" s="108"/>
    </row>
    <row r="55" ht="18.5" customHeight="1" spans="1:16">
      <c r="A55" s="60" t="s">
        <v>96</v>
      </c>
      <c r="B55" s="48">
        <v>378</v>
      </c>
      <c r="C55" s="90">
        <v>378</v>
      </c>
      <c r="D55" s="57">
        <v>497</v>
      </c>
      <c r="E55" s="90">
        <v>411</v>
      </c>
      <c r="F55" s="90">
        <v>411</v>
      </c>
      <c r="G55" s="52">
        <f t="shared" ref="G55:G58" si="24">F55-E55</f>
        <v>0</v>
      </c>
      <c r="H55" s="56">
        <f t="shared" ref="H55:H58" si="25">F55/E55</f>
        <v>1</v>
      </c>
      <c r="I55" s="48"/>
      <c r="J55" s="48"/>
      <c r="K55" s="110"/>
      <c r="L55" s="110"/>
      <c r="M55" s="110"/>
      <c r="N55" s="110"/>
      <c r="O55" s="118"/>
      <c r="P55" s="108"/>
    </row>
    <row r="56" ht="18.5" customHeight="1" spans="1:16">
      <c r="A56" s="60" t="s">
        <v>97</v>
      </c>
      <c r="B56" s="48"/>
      <c r="C56" s="90"/>
      <c r="D56" s="57"/>
      <c r="E56" s="90"/>
      <c r="F56" s="90"/>
      <c r="G56" s="52"/>
      <c r="H56" s="108"/>
      <c r="I56" s="48"/>
      <c r="J56" s="48"/>
      <c r="K56" s="110"/>
      <c r="L56" s="110"/>
      <c r="M56" s="110"/>
      <c r="N56" s="110"/>
      <c r="O56" s="118"/>
      <c r="P56" s="108"/>
    </row>
    <row r="57" ht="18.5" customHeight="1" spans="1:16">
      <c r="A57" s="60" t="s">
        <v>98</v>
      </c>
      <c r="B57" s="48">
        <v>2914</v>
      </c>
      <c r="C57" s="90">
        <v>2914</v>
      </c>
      <c r="D57" s="57">
        <v>3818</v>
      </c>
      <c r="E57" s="90">
        <v>3129</v>
      </c>
      <c r="F57" s="90">
        <v>3129</v>
      </c>
      <c r="G57" s="52">
        <f t="shared" si="24"/>
        <v>0</v>
      </c>
      <c r="H57" s="56">
        <f t="shared" si="25"/>
        <v>1</v>
      </c>
      <c r="I57" s="48"/>
      <c r="J57" s="48"/>
      <c r="K57" s="110"/>
      <c r="L57" s="110"/>
      <c r="M57" s="110"/>
      <c r="N57" s="110"/>
      <c r="O57" s="118"/>
      <c r="P57" s="108"/>
    </row>
    <row r="58" ht="18.5" customHeight="1" spans="1:16">
      <c r="A58" s="60" t="s">
        <v>99</v>
      </c>
      <c r="B58" s="48">
        <v>9383</v>
      </c>
      <c r="C58" s="90">
        <v>9383</v>
      </c>
      <c r="D58" s="57">
        <v>10941</v>
      </c>
      <c r="E58" s="90">
        <v>8935</v>
      </c>
      <c r="F58" s="90">
        <v>8935</v>
      </c>
      <c r="G58" s="52">
        <f t="shared" si="24"/>
        <v>0</v>
      </c>
      <c r="H58" s="56">
        <f t="shared" si="25"/>
        <v>1</v>
      </c>
      <c r="I58" s="48"/>
      <c r="J58" s="48"/>
      <c r="K58" s="110"/>
      <c r="L58" s="110"/>
      <c r="M58" s="110"/>
      <c r="N58" s="110"/>
      <c r="O58" s="118"/>
      <c r="P58" s="108"/>
    </row>
    <row r="59" ht="18.5" customHeight="1" spans="1:16">
      <c r="A59" s="60" t="s">
        <v>100</v>
      </c>
      <c r="B59" s="48">
        <v>99765</v>
      </c>
      <c r="C59" s="90">
        <v>99765</v>
      </c>
      <c r="D59" s="57">
        <v>174319</v>
      </c>
      <c r="E59" s="90">
        <v>172372</v>
      </c>
      <c r="F59" s="90">
        <v>172372</v>
      </c>
      <c r="G59" s="52">
        <f t="shared" ref="G59:G68" si="26">F59-E59</f>
        <v>0</v>
      </c>
      <c r="H59" s="56">
        <f t="shared" ref="H59:H68" si="27">F59/E59</f>
        <v>1</v>
      </c>
      <c r="I59" s="48"/>
      <c r="J59" s="48"/>
      <c r="K59" s="110"/>
      <c r="L59" s="110"/>
      <c r="M59" s="110"/>
      <c r="N59" s="110"/>
      <c r="O59" s="118"/>
      <c r="P59" s="108"/>
    </row>
    <row r="60" ht="18.5" customHeight="1" spans="1:16">
      <c r="A60" s="60" t="s">
        <v>101</v>
      </c>
      <c r="B60" s="48">
        <v>9813</v>
      </c>
      <c r="C60" s="90">
        <v>9813</v>
      </c>
      <c r="D60" s="57">
        <v>13104</v>
      </c>
      <c r="E60" s="90"/>
      <c r="F60" s="90"/>
      <c r="G60" s="52">
        <f t="shared" si="26"/>
        <v>0</v>
      </c>
      <c r="H60" s="56"/>
      <c r="I60" s="48"/>
      <c r="J60" s="48"/>
      <c r="K60" s="110"/>
      <c r="L60" s="110"/>
      <c r="M60" s="110"/>
      <c r="N60" s="110"/>
      <c r="O60" s="118"/>
      <c r="P60" s="108"/>
    </row>
    <row r="61" ht="18.5" customHeight="1" spans="1:16">
      <c r="A61" s="60" t="s">
        <v>102</v>
      </c>
      <c r="B61" s="48">
        <v>7530</v>
      </c>
      <c r="C61" s="90">
        <v>7530</v>
      </c>
      <c r="D61" s="57">
        <v>7530</v>
      </c>
      <c r="E61" s="90"/>
      <c r="F61" s="90"/>
      <c r="G61" s="52">
        <f t="shared" si="26"/>
        <v>0</v>
      </c>
      <c r="H61" s="56"/>
      <c r="I61" s="48"/>
      <c r="J61" s="48"/>
      <c r="K61" s="110"/>
      <c r="L61" s="110"/>
      <c r="M61" s="110"/>
      <c r="N61" s="110"/>
      <c r="O61" s="118"/>
      <c r="P61" s="108"/>
    </row>
    <row r="62" ht="18.5" customHeight="1" spans="1:16">
      <c r="A62" s="60" t="s">
        <v>103</v>
      </c>
      <c r="B62" s="48"/>
      <c r="C62" s="49"/>
      <c r="D62" s="57"/>
      <c r="E62" s="90"/>
      <c r="F62" s="90"/>
      <c r="G62" s="52"/>
      <c r="H62" s="108"/>
      <c r="I62" s="48"/>
      <c r="J62" s="48"/>
      <c r="K62" s="110"/>
      <c r="L62" s="110"/>
      <c r="M62" s="110"/>
      <c r="N62" s="110"/>
      <c r="O62" s="118"/>
      <c r="P62" s="108"/>
    </row>
    <row r="63" ht="18.5" customHeight="1" spans="1:16">
      <c r="A63" s="60" t="s">
        <v>104</v>
      </c>
      <c r="B63" s="48"/>
      <c r="C63" s="49"/>
      <c r="D63" s="57"/>
      <c r="E63" s="90"/>
      <c r="F63" s="90"/>
      <c r="G63" s="52"/>
      <c r="H63" s="108"/>
      <c r="I63" s="48"/>
      <c r="J63" s="48"/>
      <c r="K63" s="110"/>
      <c r="L63" s="110"/>
      <c r="M63" s="110"/>
      <c r="N63" s="110"/>
      <c r="O63" s="118"/>
      <c r="P63" s="108"/>
    </row>
    <row r="64" ht="18.5" customHeight="1" spans="1:16">
      <c r="A64" s="60" t="s">
        <v>105</v>
      </c>
      <c r="B64" s="48">
        <v>92762</v>
      </c>
      <c r="C64" s="90">
        <v>92762</v>
      </c>
      <c r="D64" s="90">
        <v>463374</v>
      </c>
      <c r="E64" s="90">
        <v>128975</v>
      </c>
      <c r="F64" s="90">
        <v>128975</v>
      </c>
      <c r="G64" s="52">
        <f t="shared" si="26"/>
        <v>0</v>
      </c>
      <c r="H64" s="56">
        <f t="shared" si="27"/>
        <v>1</v>
      </c>
      <c r="I64" s="48"/>
      <c r="J64" s="48"/>
      <c r="K64" s="110"/>
      <c r="L64" s="110"/>
      <c r="M64" s="110"/>
      <c r="N64" s="110"/>
      <c r="O64" s="118"/>
      <c r="P64" s="108"/>
    </row>
    <row r="65" ht="18.5" customHeight="1" spans="1:16">
      <c r="A65" s="60" t="s">
        <v>106</v>
      </c>
      <c r="B65" s="48">
        <v>140927</v>
      </c>
      <c r="C65" s="90">
        <v>140927</v>
      </c>
      <c r="D65" s="90">
        <v>148735</v>
      </c>
      <c r="E65" s="90">
        <v>296946</v>
      </c>
      <c r="F65" s="90">
        <v>296946</v>
      </c>
      <c r="G65" s="52">
        <f t="shared" si="26"/>
        <v>0</v>
      </c>
      <c r="H65" s="56">
        <f t="shared" si="27"/>
        <v>1</v>
      </c>
      <c r="I65" s="48"/>
      <c r="J65" s="48"/>
      <c r="K65" s="110"/>
      <c r="L65" s="110"/>
      <c r="M65" s="110"/>
      <c r="N65" s="110"/>
      <c r="O65" s="118"/>
      <c r="P65" s="108"/>
    </row>
    <row r="66" ht="18.5" customHeight="1" spans="1:16">
      <c r="A66" s="60" t="s">
        <v>107</v>
      </c>
      <c r="B66" s="48">
        <v>1225</v>
      </c>
      <c r="C66" s="90">
        <v>1225</v>
      </c>
      <c r="D66" s="90">
        <v>16981</v>
      </c>
      <c r="E66" s="90">
        <v>2007</v>
      </c>
      <c r="F66" s="90">
        <v>2007</v>
      </c>
      <c r="G66" s="52">
        <f t="shared" si="26"/>
        <v>0</v>
      </c>
      <c r="H66" s="56">
        <f t="shared" si="27"/>
        <v>1</v>
      </c>
      <c r="I66" s="48"/>
      <c r="J66" s="48"/>
      <c r="K66" s="110"/>
      <c r="L66" s="110"/>
      <c r="M66" s="110"/>
      <c r="N66" s="110"/>
      <c r="O66" s="118"/>
      <c r="P66" s="108"/>
    </row>
    <row r="67" ht="18.5" customHeight="1" spans="1:16">
      <c r="A67" s="60" t="s">
        <v>108</v>
      </c>
      <c r="B67" s="48">
        <v>111787</v>
      </c>
      <c r="C67" s="90">
        <v>111787</v>
      </c>
      <c r="D67" s="90">
        <v>108757</v>
      </c>
      <c r="E67" s="90">
        <v>113097</v>
      </c>
      <c r="F67" s="90">
        <v>113097</v>
      </c>
      <c r="G67" s="52">
        <f t="shared" si="26"/>
        <v>0</v>
      </c>
      <c r="H67" s="56">
        <f t="shared" si="27"/>
        <v>1</v>
      </c>
      <c r="I67" s="48"/>
      <c r="J67" s="48"/>
      <c r="K67" s="110"/>
      <c r="L67" s="110"/>
      <c r="M67" s="110"/>
      <c r="N67" s="110"/>
      <c r="O67" s="118"/>
      <c r="P67" s="108"/>
    </row>
    <row r="68" s="36" customFormat="1" ht="18.5" customHeight="1" spans="1:16">
      <c r="A68" s="87" t="s">
        <v>109</v>
      </c>
      <c r="B68" s="43">
        <f t="shared" ref="B68:F68" si="28">B7+B34+B39</f>
        <v>2437487</v>
      </c>
      <c r="C68" s="44">
        <f t="shared" si="28"/>
        <v>2477487</v>
      </c>
      <c r="D68" s="44">
        <f t="shared" si="28"/>
        <v>3153542</v>
      </c>
      <c r="E68" s="44">
        <f t="shared" si="28"/>
        <v>3187815</v>
      </c>
      <c r="F68" s="44">
        <f t="shared" si="28"/>
        <v>3212815</v>
      </c>
      <c r="G68" s="115">
        <f t="shared" si="26"/>
        <v>25000</v>
      </c>
      <c r="H68" s="116">
        <f t="shared" si="27"/>
        <v>1.00784236224499</v>
      </c>
      <c r="I68" s="87" t="s">
        <v>110</v>
      </c>
      <c r="J68" s="43">
        <f t="shared" ref="J68:N68" si="29">J7+J32+J34+J39</f>
        <v>2437487</v>
      </c>
      <c r="K68" s="117">
        <f t="shared" si="29"/>
        <v>2477487</v>
      </c>
      <c r="L68" s="117">
        <f t="shared" si="29"/>
        <v>3153542</v>
      </c>
      <c r="M68" s="117">
        <f t="shared" si="29"/>
        <v>3187815</v>
      </c>
      <c r="N68" s="117">
        <f t="shared" si="29"/>
        <v>3212815</v>
      </c>
      <c r="O68" s="115">
        <f>N68-M68</f>
        <v>25000</v>
      </c>
      <c r="P68" s="116">
        <f>N68/M68</f>
        <v>1.00784236224499</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printOptions horizontalCentered="1"/>
  <pageMargins left="0.55" right="0.55" top="0.511805555555556" bottom="0.55" header="0.393055555555556" footer="0.275"/>
  <pageSetup paperSize="9" scale="64" firstPageNumber="8" fitToHeight="0" orientation="landscape" useFirstPageNumber="1" horizontalDpi="600"/>
  <headerFooter>
    <oddFooter>&amp;C&amp;22—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71"/>
  <sheetViews>
    <sheetView view="pageBreakPreview" zoomScale="85" zoomScaleNormal="100" zoomScaleSheetLayoutView="85" workbookViewId="0">
      <pane xSplit="1" ySplit="6" topLeftCell="F44" activePane="bottomRight" state="frozen"/>
      <selection/>
      <selection pane="topRight"/>
      <selection pane="bottomLeft"/>
      <selection pane="bottomRight" activeCell="O57" sqref="O57"/>
    </sheetView>
  </sheetViews>
  <sheetFormatPr defaultColWidth="8.89166666666667" defaultRowHeight="13.5"/>
  <cols>
    <col min="1" max="1" width="45.6333333333333" style="37" customWidth="1"/>
    <col min="2" max="2" width="8.41666666666667" style="37" customWidth="1"/>
    <col min="3" max="3" width="9.21666666666667" style="37" customWidth="1"/>
    <col min="4" max="4" width="9.93333333333333" style="37" customWidth="1"/>
    <col min="5" max="5" width="10.0583333333333" style="37" customWidth="1"/>
    <col min="6" max="6" width="9.83333333333333" style="37" customWidth="1"/>
    <col min="7" max="7" width="10.4833333333333" style="37" customWidth="1"/>
    <col min="8" max="8" width="7.63333333333333" style="37" customWidth="1"/>
    <col min="9" max="9" width="49.375" style="37" customWidth="1"/>
    <col min="10" max="10" width="8.41666666666667" style="37" customWidth="1"/>
    <col min="11" max="11" width="9.21666666666667" style="37" customWidth="1"/>
    <col min="12" max="12" width="9.51666666666667" style="37" customWidth="1"/>
    <col min="13" max="13" width="9.40833333333333" style="37" customWidth="1"/>
    <col min="14" max="14" width="9.725" style="37" customWidth="1"/>
    <col min="15" max="15" width="10.2666666666667" style="37" customWidth="1"/>
    <col min="16" max="16" width="7.63333333333333" style="37" customWidth="1"/>
    <col min="17" max="16384" width="8.89166666666667" style="37"/>
  </cols>
  <sheetData>
    <row r="1" ht="16" customHeight="1" spans="1:1">
      <c r="A1" s="37" t="s">
        <v>111</v>
      </c>
    </row>
    <row r="2" ht="32" customHeight="1" spans="1:16">
      <c r="A2" s="103" t="s">
        <v>112</v>
      </c>
      <c r="B2" s="103"/>
      <c r="C2" s="103"/>
      <c r="D2" s="103"/>
      <c r="E2" s="103"/>
      <c r="F2" s="103"/>
      <c r="G2" s="103"/>
      <c r="H2" s="103"/>
      <c r="I2" s="103"/>
      <c r="J2" s="103"/>
      <c r="K2" s="103"/>
      <c r="L2" s="103"/>
      <c r="M2" s="103"/>
      <c r="N2" s="103"/>
      <c r="O2" s="103"/>
      <c r="P2" s="103"/>
    </row>
    <row r="3" s="35" customFormat="1" ht="16" customHeight="1" spans="14:16">
      <c r="N3" s="37"/>
      <c r="O3" s="68" t="s">
        <v>2</v>
      </c>
      <c r="P3" s="37"/>
    </row>
    <row r="4" s="36" customFormat="1" ht="21" customHeight="1" spans="1:16">
      <c r="A4" s="39" t="s">
        <v>3</v>
      </c>
      <c r="B4" s="39"/>
      <c r="C4" s="39"/>
      <c r="D4" s="39"/>
      <c r="E4" s="39"/>
      <c r="F4" s="39"/>
      <c r="G4" s="39"/>
      <c r="H4" s="39"/>
      <c r="I4" s="39" t="s">
        <v>4</v>
      </c>
      <c r="J4" s="39"/>
      <c r="K4" s="39"/>
      <c r="L4" s="39"/>
      <c r="M4" s="39"/>
      <c r="N4" s="39"/>
      <c r="O4" s="39"/>
      <c r="P4" s="39"/>
    </row>
    <row r="5" s="36" customFormat="1" ht="26.5" customHeight="1" spans="1:16">
      <c r="A5" s="40" t="s">
        <v>5</v>
      </c>
      <c r="B5" s="41" t="s">
        <v>6</v>
      </c>
      <c r="C5" s="41" t="s">
        <v>7</v>
      </c>
      <c r="D5" s="41" t="s">
        <v>8</v>
      </c>
      <c r="E5" s="41" t="s">
        <v>9</v>
      </c>
      <c r="F5" s="41" t="s">
        <v>10</v>
      </c>
      <c r="G5" s="41" t="s">
        <v>11</v>
      </c>
      <c r="H5" s="41" t="s">
        <v>12</v>
      </c>
      <c r="I5" s="69" t="s">
        <v>13</v>
      </c>
      <c r="J5" s="41" t="s">
        <v>6</v>
      </c>
      <c r="K5" s="41" t="s">
        <v>7</v>
      </c>
      <c r="L5" s="41" t="s">
        <v>8</v>
      </c>
      <c r="M5" s="41" t="s">
        <v>9</v>
      </c>
      <c r="N5" s="41" t="s">
        <v>10</v>
      </c>
      <c r="O5" s="41" t="s">
        <v>11</v>
      </c>
      <c r="P5" s="41" t="s">
        <v>12</v>
      </c>
    </row>
    <row r="6" s="36" customFormat="1" ht="26.5" customHeight="1" spans="1:16">
      <c r="A6" s="40"/>
      <c r="B6" s="41"/>
      <c r="C6" s="41"/>
      <c r="D6" s="41"/>
      <c r="E6" s="41"/>
      <c r="F6" s="41"/>
      <c r="G6" s="41"/>
      <c r="H6" s="41"/>
      <c r="I6" s="69"/>
      <c r="J6" s="41"/>
      <c r="K6" s="41"/>
      <c r="L6" s="41"/>
      <c r="M6" s="41"/>
      <c r="N6" s="41"/>
      <c r="O6" s="41"/>
      <c r="P6" s="41"/>
    </row>
    <row r="7" s="36" customFormat="1" ht="18" customHeight="1" spans="1:16">
      <c r="A7" s="42" t="s">
        <v>113</v>
      </c>
      <c r="B7" s="43">
        <f t="shared" ref="B7:F7" si="0">SUM(B8:B22)</f>
        <v>1693460</v>
      </c>
      <c r="C7" s="44">
        <f t="shared" si="0"/>
        <v>1693460</v>
      </c>
      <c r="D7" s="44">
        <f t="shared" si="0"/>
        <v>1533361</v>
      </c>
      <c r="E7" s="44">
        <f t="shared" si="0"/>
        <v>1693460</v>
      </c>
      <c r="F7" s="44">
        <f t="shared" si="0"/>
        <v>1693460</v>
      </c>
      <c r="G7" s="104">
        <f t="shared" ref="G7:G20" si="1">F7-E7</f>
        <v>0</v>
      </c>
      <c r="H7" s="46">
        <f t="shared" ref="H7:H20" si="2">F7/E7</f>
        <v>1</v>
      </c>
      <c r="I7" s="42" t="s">
        <v>114</v>
      </c>
      <c r="J7" s="43">
        <f t="shared" ref="J7:N7" si="3">J8+J11+J14+J24+J30+J35+J39+J46+J53</f>
        <v>2352664</v>
      </c>
      <c r="K7" s="44">
        <f t="shared" si="3"/>
        <v>2514864</v>
      </c>
      <c r="L7" s="44">
        <f t="shared" si="3"/>
        <v>2214696</v>
      </c>
      <c r="M7" s="44">
        <f t="shared" si="3"/>
        <v>2596388</v>
      </c>
      <c r="N7" s="44">
        <f t="shared" si="3"/>
        <v>2896388</v>
      </c>
      <c r="O7" s="45">
        <f t="shared" ref="O7:O21" si="4">N7-M7</f>
        <v>300000</v>
      </c>
      <c r="P7" s="46">
        <f t="shared" ref="P7:P21" si="5">N7/M7</f>
        <v>1.11554513424034</v>
      </c>
    </row>
    <row r="8" ht="18" customHeight="1" spans="1:16">
      <c r="A8" s="47" t="s">
        <v>115</v>
      </c>
      <c r="B8" s="48"/>
      <c r="C8" s="105"/>
      <c r="D8" s="106"/>
      <c r="E8" s="51"/>
      <c r="F8" s="51"/>
      <c r="G8" s="107"/>
      <c r="H8" s="53"/>
      <c r="I8" s="70" t="s">
        <v>116</v>
      </c>
      <c r="J8" s="48"/>
      <c r="K8" s="49"/>
      <c r="L8" s="49"/>
      <c r="M8" s="49"/>
      <c r="N8" s="49"/>
      <c r="O8" s="53"/>
      <c r="P8" s="53"/>
    </row>
    <row r="9" ht="18" customHeight="1" spans="1:16">
      <c r="A9" s="54" t="s">
        <v>117</v>
      </c>
      <c r="B9" s="48"/>
      <c r="C9" s="105"/>
      <c r="D9" s="106"/>
      <c r="E9" s="51"/>
      <c r="F9" s="51"/>
      <c r="G9" s="107"/>
      <c r="H9" s="53"/>
      <c r="I9" s="70" t="s">
        <v>118</v>
      </c>
      <c r="J9" s="48"/>
      <c r="K9" s="49"/>
      <c r="L9" s="49"/>
      <c r="M9" s="49"/>
      <c r="N9" s="49"/>
      <c r="O9" s="53"/>
      <c r="P9" s="53"/>
    </row>
    <row r="10" ht="18" customHeight="1" spans="1:16">
      <c r="A10" s="54" t="s">
        <v>119</v>
      </c>
      <c r="B10" s="48"/>
      <c r="C10" s="105"/>
      <c r="D10" s="106"/>
      <c r="E10" s="51"/>
      <c r="F10" s="51"/>
      <c r="G10" s="108">
        <f t="shared" si="1"/>
        <v>0</v>
      </c>
      <c r="H10" s="56"/>
      <c r="I10" s="71" t="s">
        <v>120</v>
      </c>
      <c r="J10" s="48"/>
      <c r="K10" s="49"/>
      <c r="L10" s="49"/>
      <c r="M10" s="49"/>
      <c r="N10" s="49"/>
      <c r="O10" s="53"/>
      <c r="P10" s="53"/>
    </row>
    <row r="11" ht="18" customHeight="1" spans="1:16">
      <c r="A11" s="47" t="s">
        <v>121</v>
      </c>
      <c r="B11" s="48">
        <v>63000</v>
      </c>
      <c r="C11" s="51">
        <v>63000</v>
      </c>
      <c r="D11" s="106">
        <v>58370</v>
      </c>
      <c r="E11" s="51">
        <v>65000</v>
      </c>
      <c r="F11" s="51">
        <v>65000</v>
      </c>
      <c r="G11" s="108">
        <f t="shared" si="1"/>
        <v>0</v>
      </c>
      <c r="H11" s="56">
        <f t="shared" si="2"/>
        <v>1</v>
      </c>
      <c r="I11" s="72" t="s">
        <v>122</v>
      </c>
      <c r="J11" s="48">
        <f t="shared" ref="J11:M11" si="6">SUM(J12:J13)</f>
        <v>258</v>
      </c>
      <c r="K11" s="49">
        <f t="shared" si="6"/>
        <v>258</v>
      </c>
      <c r="L11" s="49">
        <f t="shared" si="6"/>
        <v>239</v>
      </c>
      <c r="M11" s="49"/>
      <c r="N11" s="49"/>
      <c r="O11" s="108">
        <f t="shared" si="4"/>
        <v>0</v>
      </c>
      <c r="P11" s="56"/>
    </row>
    <row r="12" ht="18" customHeight="1" spans="1:16">
      <c r="A12" s="47" t="s">
        <v>123</v>
      </c>
      <c r="B12" s="48">
        <v>977</v>
      </c>
      <c r="C12" s="51">
        <v>977</v>
      </c>
      <c r="D12" s="106">
        <v>1632</v>
      </c>
      <c r="E12" s="51">
        <v>977</v>
      </c>
      <c r="F12" s="51">
        <v>977</v>
      </c>
      <c r="G12" s="108">
        <f t="shared" si="1"/>
        <v>0</v>
      </c>
      <c r="H12" s="56">
        <f t="shared" si="2"/>
        <v>1</v>
      </c>
      <c r="I12" s="71" t="s">
        <v>124</v>
      </c>
      <c r="J12" s="48">
        <v>258</v>
      </c>
      <c r="K12" s="49">
        <v>258</v>
      </c>
      <c r="L12" s="49">
        <v>239</v>
      </c>
      <c r="M12" s="49"/>
      <c r="N12" s="49"/>
      <c r="O12" s="108">
        <f t="shared" si="4"/>
        <v>0</v>
      </c>
      <c r="P12" s="56"/>
    </row>
    <row r="13" ht="18" customHeight="1" spans="1:16">
      <c r="A13" s="47" t="s">
        <v>125</v>
      </c>
      <c r="B13" s="48">
        <v>1511023</v>
      </c>
      <c r="C13" s="51">
        <v>1511023</v>
      </c>
      <c r="D13" s="106">
        <v>1407287</v>
      </c>
      <c r="E13" s="51">
        <v>1559023</v>
      </c>
      <c r="F13" s="51">
        <v>1559023</v>
      </c>
      <c r="G13" s="108">
        <f t="shared" si="1"/>
        <v>0</v>
      </c>
      <c r="H13" s="56">
        <f t="shared" si="2"/>
        <v>1</v>
      </c>
      <c r="I13" s="71" t="s">
        <v>126</v>
      </c>
      <c r="J13" s="48"/>
      <c r="K13" s="49"/>
      <c r="L13" s="49"/>
      <c r="M13" s="49"/>
      <c r="N13" s="49"/>
      <c r="O13" s="108"/>
      <c r="P13" s="56"/>
    </row>
    <row r="14" ht="18" customHeight="1" spans="1:16">
      <c r="A14" s="47" t="s">
        <v>127</v>
      </c>
      <c r="B14" s="48"/>
      <c r="C14" s="51"/>
      <c r="D14" s="106"/>
      <c r="E14" s="51"/>
      <c r="F14" s="51"/>
      <c r="G14" s="108">
        <f t="shared" si="1"/>
        <v>0</v>
      </c>
      <c r="H14" s="56"/>
      <c r="I14" s="70" t="s">
        <v>128</v>
      </c>
      <c r="J14" s="48">
        <f t="shared" ref="J14:N14" si="7">SUM(J15:J23)</f>
        <v>1635941</v>
      </c>
      <c r="K14" s="49">
        <f t="shared" si="7"/>
        <v>1663941</v>
      </c>
      <c r="L14" s="49">
        <f t="shared" si="7"/>
        <v>1500792</v>
      </c>
      <c r="M14" s="49">
        <f t="shared" si="7"/>
        <v>1723189</v>
      </c>
      <c r="N14" s="49">
        <f t="shared" si="7"/>
        <v>1723189</v>
      </c>
      <c r="O14" s="109">
        <f t="shared" si="4"/>
        <v>0</v>
      </c>
      <c r="P14" s="56">
        <f t="shared" si="5"/>
        <v>1</v>
      </c>
    </row>
    <row r="15" ht="18" customHeight="1" spans="1:16">
      <c r="A15" s="47" t="s">
        <v>129</v>
      </c>
      <c r="B15" s="48">
        <v>1400</v>
      </c>
      <c r="C15" s="51">
        <v>1400</v>
      </c>
      <c r="D15" s="106">
        <v>1764</v>
      </c>
      <c r="E15" s="51">
        <v>1400</v>
      </c>
      <c r="F15" s="51">
        <v>1400</v>
      </c>
      <c r="G15" s="108">
        <f t="shared" si="1"/>
        <v>0</v>
      </c>
      <c r="H15" s="56">
        <f t="shared" si="2"/>
        <v>1</v>
      </c>
      <c r="I15" s="70" t="s">
        <v>130</v>
      </c>
      <c r="J15" s="48">
        <v>1420076</v>
      </c>
      <c r="K15" s="75">
        <f>4359+9882+1364308+32596+8931</f>
        <v>1420076</v>
      </c>
      <c r="L15" s="106">
        <v>1227211</v>
      </c>
      <c r="M15" s="75">
        <v>1548998</v>
      </c>
      <c r="N15" s="75">
        <v>1548998</v>
      </c>
      <c r="O15" s="108">
        <f t="shared" si="4"/>
        <v>0</v>
      </c>
      <c r="P15" s="56">
        <f t="shared" si="5"/>
        <v>1</v>
      </c>
    </row>
    <row r="16" ht="18" customHeight="1" spans="1:16">
      <c r="A16" s="54" t="s">
        <v>131</v>
      </c>
      <c r="B16" s="48">
        <v>100000</v>
      </c>
      <c r="C16" s="51">
        <v>100000</v>
      </c>
      <c r="D16" s="106">
        <v>46501</v>
      </c>
      <c r="E16" s="51">
        <v>50000</v>
      </c>
      <c r="F16" s="51">
        <v>50000</v>
      </c>
      <c r="G16" s="108">
        <f t="shared" si="1"/>
        <v>0</v>
      </c>
      <c r="H16" s="56">
        <f t="shared" si="2"/>
        <v>1</v>
      </c>
      <c r="I16" s="70" t="s">
        <v>132</v>
      </c>
      <c r="J16" s="48">
        <v>63000</v>
      </c>
      <c r="K16" s="75">
        <v>63000</v>
      </c>
      <c r="L16" s="75">
        <v>26585</v>
      </c>
      <c r="M16" s="75">
        <v>82295</v>
      </c>
      <c r="N16" s="75">
        <v>82295</v>
      </c>
      <c r="O16" s="108">
        <f t="shared" si="4"/>
        <v>0</v>
      </c>
      <c r="P16" s="56">
        <f t="shared" si="5"/>
        <v>1</v>
      </c>
    </row>
    <row r="17" ht="18" customHeight="1" spans="1:16">
      <c r="A17" s="47" t="s">
        <v>133</v>
      </c>
      <c r="B17" s="48"/>
      <c r="C17" s="51"/>
      <c r="D17" s="106"/>
      <c r="E17" s="51"/>
      <c r="F17" s="51"/>
      <c r="G17" s="108">
        <f t="shared" si="1"/>
        <v>0</v>
      </c>
      <c r="H17" s="56"/>
      <c r="I17" s="70" t="s">
        <v>134</v>
      </c>
      <c r="J17" s="48">
        <v>1377</v>
      </c>
      <c r="K17" s="75">
        <f t="shared" ref="K17:M17" si="8">977+400</f>
        <v>1377</v>
      </c>
      <c r="L17" s="75">
        <v>1323</v>
      </c>
      <c r="M17" s="75">
        <v>977</v>
      </c>
      <c r="N17" s="75">
        <v>977</v>
      </c>
      <c r="O17" s="108">
        <f t="shared" si="4"/>
        <v>0</v>
      </c>
      <c r="P17" s="56">
        <f t="shared" si="5"/>
        <v>1</v>
      </c>
    </row>
    <row r="18" ht="18" customHeight="1" spans="1:16">
      <c r="A18" s="47" t="s">
        <v>135</v>
      </c>
      <c r="B18" s="48"/>
      <c r="C18" s="51"/>
      <c r="D18" s="106"/>
      <c r="E18" s="51"/>
      <c r="F18" s="51"/>
      <c r="G18" s="108">
        <f t="shared" si="1"/>
        <v>0</v>
      </c>
      <c r="H18" s="56"/>
      <c r="I18" s="70" t="s">
        <v>136</v>
      </c>
      <c r="J18" s="48">
        <v>100481</v>
      </c>
      <c r="K18" s="75">
        <f>120+100000+361</f>
        <v>100481</v>
      </c>
      <c r="L18" s="75">
        <v>42815</v>
      </c>
      <c r="M18" s="75">
        <v>53919</v>
      </c>
      <c r="N18" s="75">
        <v>53919</v>
      </c>
      <c r="O18" s="108">
        <f t="shared" si="4"/>
        <v>0</v>
      </c>
      <c r="P18" s="56">
        <f t="shared" si="5"/>
        <v>1</v>
      </c>
    </row>
    <row r="19" ht="18" customHeight="1" spans="1:16">
      <c r="A19" s="54" t="s">
        <v>137</v>
      </c>
      <c r="B19" s="48">
        <v>17000</v>
      </c>
      <c r="C19" s="51">
        <v>17000</v>
      </c>
      <c r="D19" s="106">
        <v>17736</v>
      </c>
      <c r="E19" s="51">
        <v>17000</v>
      </c>
      <c r="F19" s="51">
        <v>17000</v>
      </c>
      <c r="G19" s="108">
        <f t="shared" si="1"/>
        <v>0</v>
      </c>
      <c r="H19" s="56">
        <f t="shared" si="2"/>
        <v>1</v>
      </c>
      <c r="I19" s="70" t="s">
        <v>138</v>
      </c>
      <c r="J19" s="48">
        <v>17000</v>
      </c>
      <c r="K19" s="75">
        <v>17000</v>
      </c>
      <c r="L19" s="75">
        <v>16898</v>
      </c>
      <c r="M19" s="75">
        <v>17000</v>
      </c>
      <c r="N19" s="75">
        <v>17000</v>
      </c>
      <c r="O19" s="108">
        <f t="shared" si="4"/>
        <v>0</v>
      </c>
      <c r="P19" s="56">
        <f t="shared" si="5"/>
        <v>1</v>
      </c>
    </row>
    <row r="20" ht="18" customHeight="1" spans="1:16">
      <c r="A20" s="54" t="s">
        <v>139</v>
      </c>
      <c r="B20" s="48">
        <v>60</v>
      </c>
      <c r="C20" s="51">
        <v>60</v>
      </c>
      <c r="D20" s="106">
        <v>71</v>
      </c>
      <c r="E20" s="51">
        <v>60</v>
      </c>
      <c r="F20" s="51">
        <v>60</v>
      </c>
      <c r="G20" s="108">
        <f t="shared" si="1"/>
        <v>0</v>
      </c>
      <c r="H20" s="56">
        <f t="shared" si="2"/>
        <v>1</v>
      </c>
      <c r="I20" s="70" t="s">
        <v>140</v>
      </c>
      <c r="J20" s="48"/>
      <c r="K20" s="75"/>
      <c r="L20" s="106"/>
      <c r="M20" s="75"/>
      <c r="N20" s="75"/>
      <c r="O20" s="108"/>
      <c r="P20" s="56"/>
    </row>
    <row r="21" ht="18" customHeight="1" spans="1:16">
      <c r="A21" s="54" t="s">
        <v>141</v>
      </c>
      <c r="B21" s="48"/>
      <c r="C21" s="51"/>
      <c r="D21" s="49"/>
      <c r="E21" s="49"/>
      <c r="F21" s="49"/>
      <c r="G21" s="107"/>
      <c r="H21" s="53"/>
      <c r="I21" s="70" t="s">
        <v>142</v>
      </c>
      <c r="J21" s="48">
        <v>34007</v>
      </c>
      <c r="K21" s="75">
        <f>34000+7+28000</f>
        <v>62007</v>
      </c>
      <c r="L21" s="75">
        <v>185960</v>
      </c>
      <c r="M21" s="75">
        <f>24600-4600</f>
        <v>20000</v>
      </c>
      <c r="N21" s="75">
        <f>24600-4600</f>
        <v>20000</v>
      </c>
      <c r="O21" s="109">
        <f t="shared" si="4"/>
        <v>0</v>
      </c>
      <c r="P21" s="56"/>
    </row>
    <row r="22" ht="18" customHeight="1" spans="1:16">
      <c r="A22" s="54" t="s">
        <v>143</v>
      </c>
      <c r="B22" s="48"/>
      <c r="C22" s="51"/>
      <c r="D22" s="49"/>
      <c r="E22" s="49"/>
      <c r="F22" s="49"/>
      <c r="G22" s="107"/>
      <c r="H22" s="53"/>
      <c r="I22" s="70" t="s">
        <v>144</v>
      </c>
      <c r="J22" s="48"/>
      <c r="K22" s="49"/>
      <c r="L22" s="49"/>
      <c r="M22" s="49"/>
      <c r="N22" s="49"/>
      <c r="O22" s="53"/>
      <c r="P22" s="53"/>
    </row>
    <row r="23" ht="30" customHeight="1" spans="1:16">
      <c r="A23" s="48"/>
      <c r="B23" s="48"/>
      <c r="C23" s="49"/>
      <c r="D23" s="49"/>
      <c r="E23" s="49"/>
      <c r="F23" s="49"/>
      <c r="G23" s="107"/>
      <c r="H23" s="53"/>
      <c r="I23" s="74" t="s">
        <v>145</v>
      </c>
      <c r="J23" s="48"/>
      <c r="K23" s="49"/>
      <c r="L23" s="49"/>
      <c r="M23" s="49"/>
      <c r="N23" s="49"/>
      <c r="O23" s="53"/>
      <c r="P23" s="53"/>
    </row>
    <row r="24" ht="18" customHeight="1" spans="1:16">
      <c r="A24" s="48"/>
      <c r="B24" s="48"/>
      <c r="C24" s="49"/>
      <c r="D24" s="49"/>
      <c r="E24" s="49"/>
      <c r="F24" s="49"/>
      <c r="G24" s="107"/>
      <c r="H24" s="53"/>
      <c r="I24" s="70" t="s">
        <v>146</v>
      </c>
      <c r="J24" s="48"/>
      <c r="K24" s="49"/>
      <c r="L24" s="49"/>
      <c r="M24" s="49">
        <f>SUM(M25:M29)</f>
        <v>220</v>
      </c>
      <c r="N24" s="49">
        <f>SUM(N25:N29)</f>
        <v>220</v>
      </c>
      <c r="O24" s="108">
        <f>N24-M24</f>
        <v>0</v>
      </c>
      <c r="P24" s="56">
        <f>N24/M24</f>
        <v>1</v>
      </c>
    </row>
    <row r="25" ht="18" customHeight="1" spans="1:16">
      <c r="A25" s="48"/>
      <c r="B25" s="48"/>
      <c r="C25" s="49"/>
      <c r="D25" s="49"/>
      <c r="E25" s="49"/>
      <c r="F25" s="49"/>
      <c r="G25" s="107"/>
      <c r="H25" s="53"/>
      <c r="I25" s="70" t="s">
        <v>147</v>
      </c>
      <c r="J25" s="48"/>
      <c r="K25" s="49"/>
      <c r="L25" s="49"/>
      <c r="M25" s="49"/>
      <c r="N25" s="49"/>
      <c r="O25" s="53"/>
      <c r="P25" s="53"/>
    </row>
    <row r="26" ht="18" customHeight="1" spans="1:16">
      <c r="A26" s="48"/>
      <c r="B26" s="48"/>
      <c r="C26" s="49"/>
      <c r="D26" s="49"/>
      <c r="E26" s="49"/>
      <c r="F26" s="49"/>
      <c r="G26" s="107"/>
      <c r="H26" s="53"/>
      <c r="I26" s="70" t="s">
        <v>148</v>
      </c>
      <c r="J26" s="48"/>
      <c r="K26" s="49"/>
      <c r="L26" s="49"/>
      <c r="M26" s="49"/>
      <c r="N26" s="49"/>
      <c r="O26" s="53"/>
      <c r="P26" s="53"/>
    </row>
    <row r="27" ht="18" customHeight="1" spans="1:16">
      <c r="A27" s="48"/>
      <c r="B27" s="48"/>
      <c r="C27" s="49"/>
      <c r="D27" s="49"/>
      <c r="E27" s="49"/>
      <c r="F27" s="49"/>
      <c r="G27" s="107"/>
      <c r="H27" s="53"/>
      <c r="I27" s="70" t="s">
        <v>124</v>
      </c>
      <c r="J27" s="48"/>
      <c r="K27" s="49"/>
      <c r="L27" s="49"/>
      <c r="M27" s="75">
        <v>220</v>
      </c>
      <c r="N27" s="75">
        <v>220</v>
      </c>
      <c r="O27" s="108">
        <f>N27-M27</f>
        <v>0</v>
      </c>
      <c r="P27" s="56">
        <f>N27/M27</f>
        <v>1</v>
      </c>
    </row>
    <row r="28" ht="18" customHeight="1" spans="1:16">
      <c r="A28" s="48"/>
      <c r="B28" s="48"/>
      <c r="C28" s="49"/>
      <c r="D28" s="49"/>
      <c r="E28" s="49"/>
      <c r="F28" s="49"/>
      <c r="G28" s="107"/>
      <c r="H28" s="53"/>
      <c r="I28" s="70" t="s">
        <v>126</v>
      </c>
      <c r="J28" s="48"/>
      <c r="K28" s="49"/>
      <c r="L28" s="49"/>
      <c r="M28" s="49"/>
      <c r="N28" s="49"/>
      <c r="O28" s="53"/>
      <c r="P28" s="53"/>
    </row>
    <row r="29" ht="30" customHeight="1" spans="1:16">
      <c r="A29" s="48"/>
      <c r="B29" s="48"/>
      <c r="C29" s="49"/>
      <c r="D29" s="49"/>
      <c r="E29" s="49"/>
      <c r="F29" s="49"/>
      <c r="G29" s="107"/>
      <c r="H29" s="53"/>
      <c r="I29" s="74" t="s">
        <v>149</v>
      </c>
      <c r="J29" s="48"/>
      <c r="K29" s="49"/>
      <c r="L29" s="49"/>
      <c r="M29" s="49"/>
      <c r="N29" s="49"/>
      <c r="O29" s="53"/>
      <c r="P29" s="53"/>
    </row>
    <row r="30" ht="18" customHeight="1" spans="1:16">
      <c r="A30" s="48"/>
      <c r="B30" s="48"/>
      <c r="C30" s="49"/>
      <c r="D30" s="49"/>
      <c r="E30" s="49"/>
      <c r="F30" s="49"/>
      <c r="G30" s="107"/>
      <c r="H30" s="53"/>
      <c r="I30" s="70" t="s">
        <v>150</v>
      </c>
      <c r="J30" s="48"/>
      <c r="K30" s="49"/>
      <c r="L30" s="49"/>
      <c r="M30" s="49"/>
      <c r="N30" s="49"/>
      <c r="O30" s="53"/>
      <c r="P30" s="53"/>
    </row>
    <row r="31" ht="18" customHeight="1" spans="1:16">
      <c r="A31" s="48"/>
      <c r="B31" s="48"/>
      <c r="C31" s="49"/>
      <c r="D31" s="49"/>
      <c r="E31" s="49"/>
      <c r="F31" s="49"/>
      <c r="G31" s="107"/>
      <c r="H31" s="53"/>
      <c r="I31" s="70" t="s">
        <v>151</v>
      </c>
      <c r="J31" s="48"/>
      <c r="K31" s="49"/>
      <c r="L31" s="49"/>
      <c r="M31" s="49"/>
      <c r="N31" s="49"/>
      <c r="O31" s="53"/>
      <c r="P31" s="53"/>
    </row>
    <row r="32" ht="18" customHeight="1" spans="1:16">
      <c r="A32" s="48"/>
      <c r="B32" s="48"/>
      <c r="C32" s="49"/>
      <c r="D32" s="49"/>
      <c r="E32" s="49"/>
      <c r="F32" s="49"/>
      <c r="G32" s="107"/>
      <c r="H32" s="53"/>
      <c r="I32" s="76" t="s">
        <v>152</v>
      </c>
      <c r="J32" s="48"/>
      <c r="K32" s="49"/>
      <c r="L32" s="49"/>
      <c r="M32" s="49"/>
      <c r="N32" s="49"/>
      <c r="O32" s="53"/>
      <c r="P32" s="53"/>
    </row>
    <row r="33" ht="18" customHeight="1" spans="1:16">
      <c r="A33" s="48"/>
      <c r="B33" s="48"/>
      <c r="C33" s="49"/>
      <c r="D33" s="49"/>
      <c r="E33" s="49"/>
      <c r="F33" s="49"/>
      <c r="G33" s="107"/>
      <c r="H33" s="53"/>
      <c r="I33" s="70" t="s">
        <v>153</v>
      </c>
      <c r="J33" s="48"/>
      <c r="K33" s="49"/>
      <c r="L33" s="49"/>
      <c r="M33" s="49"/>
      <c r="N33" s="49"/>
      <c r="O33" s="53"/>
      <c r="P33" s="53"/>
    </row>
    <row r="34" ht="30" customHeight="1" spans="1:16">
      <c r="A34" s="48"/>
      <c r="B34" s="48"/>
      <c r="C34" s="49"/>
      <c r="D34" s="49"/>
      <c r="E34" s="49"/>
      <c r="F34" s="49"/>
      <c r="G34" s="107"/>
      <c r="H34" s="53"/>
      <c r="I34" s="74" t="s">
        <v>154</v>
      </c>
      <c r="J34" s="48"/>
      <c r="K34" s="49"/>
      <c r="L34" s="49"/>
      <c r="M34" s="49"/>
      <c r="N34" s="49"/>
      <c r="O34" s="53"/>
      <c r="P34" s="53"/>
    </row>
    <row r="35" ht="18" customHeight="1" spans="1:16">
      <c r="A35" s="48"/>
      <c r="B35" s="48"/>
      <c r="C35" s="49"/>
      <c r="D35" s="49"/>
      <c r="E35" s="49"/>
      <c r="F35" s="49"/>
      <c r="G35" s="107"/>
      <c r="H35" s="53"/>
      <c r="I35" s="72" t="s">
        <v>155</v>
      </c>
      <c r="J35" s="48">
        <f t="shared" ref="J35:N35" si="9">SUM(J36:J38)</f>
        <v>593215</v>
      </c>
      <c r="K35" s="49">
        <f t="shared" si="9"/>
        <v>727415</v>
      </c>
      <c r="L35" s="49">
        <f t="shared" si="9"/>
        <v>586513</v>
      </c>
      <c r="M35" s="110">
        <f t="shared" si="9"/>
        <v>715934</v>
      </c>
      <c r="N35" s="110">
        <f t="shared" si="9"/>
        <v>1015934</v>
      </c>
      <c r="O35" s="109">
        <f t="shared" ref="O35:O39" si="10">N35-M35</f>
        <v>300000</v>
      </c>
      <c r="P35" s="56">
        <f t="shared" ref="P35:P39" si="11">N35/M35</f>
        <v>1.41903303935838</v>
      </c>
    </row>
    <row r="36" ht="18" customHeight="1" spans="1:16">
      <c r="A36" s="48"/>
      <c r="B36" s="48"/>
      <c r="C36" s="49"/>
      <c r="D36" s="49"/>
      <c r="E36" s="49"/>
      <c r="F36" s="49"/>
      <c r="G36" s="107"/>
      <c r="H36" s="53"/>
      <c r="I36" s="70" t="s">
        <v>156</v>
      </c>
      <c r="J36" s="48">
        <v>590212</v>
      </c>
      <c r="K36" s="75">
        <f>590200+5+7+134200</f>
        <v>724412</v>
      </c>
      <c r="L36" s="75">
        <v>585130</v>
      </c>
      <c r="M36" s="75">
        <f>392927+691900-376900+4600</f>
        <v>712527</v>
      </c>
      <c r="N36" s="75">
        <f>M36+300000</f>
        <v>1012527</v>
      </c>
      <c r="O36" s="109">
        <f t="shared" si="10"/>
        <v>300000</v>
      </c>
      <c r="P36" s="56">
        <f t="shared" si="11"/>
        <v>1.42103667650489</v>
      </c>
    </row>
    <row r="37" ht="18" customHeight="1" spans="1:16">
      <c r="A37" s="48"/>
      <c r="B37" s="48"/>
      <c r="C37" s="49"/>
      <c r="D37" s="49"/>
      <c r="E37" s="49"/>
      <c r="F37" s="49"/>
      <c r="G37" s="107"/>
      <c r="H37" s="53"/>
      <c r="I37" s="70" t="s">
        <v>157</v>
      </c>
      <c r="J37" s="48">
        <v>60</v>
      </c>
      <c r="K37" s="75">
        <v>60</v>
      </c>
      <c r="L37" s="75">
        <v>60</v>
      </c>
      <c r="M37" s="75">
        <v>60</v>
      </c>
      <c r="N37" s="75">
        <v>60</v>
      </c>
      <c r="O37" s="108">
        <f t="shared" si="10"/>
        <v>0</v>
      </c>
      <c r="P37" s="56">
        <f t="shared" si="11"/>
        <v>1</v>
      </c>
    </row>
    <row r="38" ht="18" customHeight="1" spans="1:16">
      <c r="A38" s="58"/>
      <c r="B38" s="48"/>
      <c r="C38" s="49"/>
      <c r="D38" s="49"/>
      <c r="E38" s="49"/>
      <c r="F38" s="49"/>
      <c r="G38" s="107"/>
      <c r="H38" s="53"/>
      <c r="I38" s="70" t="s">
        <v>158</v>
      </c>
      <c r="J38" s="48">
        <v>2943</v>
      </c>
      <c r="K38" s="75">
        <f>1400+1280+61+202</f>
        <v>2943</v>
      </c>
      <c r="L38" s="75">
        <v>1323</v>
      </c>
      <c r="M38" s="75">
        <v>3347</v>
      </c>
      <c r="N38" s="75">
        <v>3347</v>
      </c>
      <c r="O38" s="108">
        <f t="shared" si="10"/>
        <v>0</v>
      </c>
      <c r="P38" s="56">
        <f t="shared" si="11"/>
        <v>1</v>
      </c>
    </row>
    <row r="39" ht="18" customHeight="1" spans="1:16">
      <c r="A39" s="58"/>
      <c r="B39" s="48"/>
      <c r="C39" s="49"/>
      <c r="D39" s="49"/>
      <c r="E39" s="49"/>
      <c r="F39" s="49"/>
      <c r="G39" s="107"/>
      <c r="H39" s="53"/>
      <c r="I39" s="77" t="s">
        <v>159</v>
      </c>
      <c r="J39" s="48">
        <f t="shared" ref="J39:N39" si="12">SUM(J40:J45)</f>
        <v>122350</v>
      </c>
      <c r="K39" s="49">
        <f t="shared" si="12"/>
        <v>122350</v>
      </c>
      <c r="L39" s="49">
        <f t="shared" si="12"/>
        <v>126312</v>
      </c>
      <c r="M39" s="110">
        <f t="shared" si="12"/>
        <v>156000</v>
      </c>
      <c r="N39" s="110">
        <f t="shared" si="12"/>
        <v>156000</v>
      </c>
      <c r="O39" s="108">
        <f t="shared" si="10"/>
        <v>0</v>
      </c>
      <c r="P39" s="56">
        <f t="shared" si="11"/>
        <v>1</v>
      </c>
    </row>
    <row r="40" ht="18" customHeight="1" spans="1:16">
      <c r="A40" s="58"/>
      <c r="B40" s="48"/>
      <c r="C40" s="49"/>
      <c r="D40" s="49"/>
      <c r="E40" s="49"/>
      <c r="F40" s="49"/>
      <c r="G40" s="107"/>
      <c r="H40" s="53"/>
      <c r="I40" s="72" t="s">
        <v>160</v>
      </c>
      <c r="J40" s="48"/>
      <c r="K40" s="75"/>
      <c r="L40" s="75"/>
      <c r="M40" s="75"/>
      <c r="N40" s="75"/>
      <c r="O40" s="53"/>
      <c r="P40" s="53"/>
    </row>
    <row r="41" ht="18" customHeight="1" spans="1:16">
      <c r="A41" s="58"/>
      <c r="B41" s="48"/>
      <c r="C41" s="49"/>
      <c r="D41" s="49"/>
      <c r="E41" s="49"/>
      <c r="F41" s="49"/>
      <c r="G41" s="107"/>
      <c r="H41" s="53"/>
      <c r="I41" s="79" t="s">
        <v>161</v>
      </c>
      <c r="J41" s="48">
        <v>24255</v>
      </c>
      <c r="K41" s="75">
        <v>24255</v>
      </c>
      <c r="L41" s="75">
        <v>29133</v>
      </c>
      <c r="M41" s="75">
        <v>26680</v>
      </c>
      <c r="N41" s="75">
        <v>26680</v>
      </c>
      <c r="O41" s="108">
        <f t="shared" ref="O41:O51" si="13">N41-M41</f>
        <v>0</v>
      </c>
      <c r="P41" s="56">
        <f t="shared" ref="P41:P51" si="14">N41/M41</f>
        <v>1</v>
      </c>
    </row>
    <row r="42" ht="18" customHeight="1" spans="1:16">
      <c r="A42" s="59"/>
      <c r="B42" s="48"/>
      <c r="C42" s="49"/>
      <c r="D42" s="49"/>
      <c r="E42" s="49"/>
      <c r="F42" s="49"/>
      <c r="G42" s="107"/>
      <c r="H42" s="53"/>
      <c r="I42" s="72" t="s">
        <v>162</v>
      </c>
      <c r="J42" s="48">
        <v>7079</v>
      </c>
      <c r="K42" s="75">
        <v>7079</v>
      </c>
      <c r="L42" s="75">
        <v>7649</v>
      </c>
      <c r="M42" s="75">
        <v>8680</v>
      </c>
      <c r="N42" s="75">
        <v>8680</v>
      </c>
      <c r="O42" s="108">
        <f t="shared" si="13"/>
        <v>0</v>
      </c>
      <c r="P42" s="56">
        <f t="shared" si="14"/>
        <v>1</v>
      </c>
    </row>
    <row r="43" ht="18" customHeight="1" spans="1:16">
      <c r="A43" s="60"/>
      <c r="B43" s="48"/>
      <c r="C43" s="49"/>
      <c r="D43" s="49"/>
      <c r="E43" s="49"/>
      <c r="F43" s="49"/>
      <c r="G43" s="107"/>
      <c r="H43" s="53"/>
      <c r="I43" s="72" t="s">
        <v>163</v>
      </c>
      <c r="J43" s="48">
        <v>8446</v>
      </c>
      <c r="K43" s="75">
        <f>8446</f>
        <v>8446</v>
      </c>
      <c r="L43" s="75">
        <v>12033</v>
      </c>
      <c r="M43" s="75">
        <v>14035</v>
      </c>
      <c r="N43" s="75">
        <v>14035</v>
      </c>
      <c r="O43" s="108">
        <f t="shared" si="13"/>
        <v>0</v>
      </c>
      <c r="P43" s="56">
        <f t="shared" si="14"/>
        <v>1</v>
      </c>
    </row>
    <row r="44" ht="18" customHeight="1" spans="1:16">
      <c r="A44" s="60"/>
      <c r="B44" s="48"/>
      <c r="C44" s="49"/>
      <c r="D44" s="49"/>
      <c r="E44" s="49"/>
      <c r="F44" s="49"/>
      <c r="G44" s="107"/>
      <c r="H44" s="53"/>
      <c r="I44" s="72" t="s">
        <v>164</v>
      </c>
      <c r="J44" s="48">
        <v>82570</v>
      </c>
      <c r="K44" s="75">
        <f>82570</f>
        <v>82570</v>
      </c>
      <c r="L44" s="75">
        <v>77497</v>
      </c>
      <c r="M44" s="75">
        <v>106605</v>
      </c>
      <c r="N44" s="75">
        <v>106605</v>
      </c>
      <c r="O44" s="108">
        <f t="shared" si="13"/>
        <v>0</v>
      </c>
      <c r="P44" s="56">
        <f t="shared" si="14"/>
        <v>1</v>
      </c>
    </row>
    <row r="45" ht="18" customHeight="1" spans="1:16">
      <c r="A45" s="60"/>
      <c r="B45" s="48"/>
      <c r="C45" s="49"/>
      <c r="D45" s="49"/>
      <c r="E45" s="49"/>
      <c r="F45" s="49"/>
      <c r="G45" s="107"/>
      <c r="H45" s="53"/>
      <c r="I45" s="72" t="s">
        <v>165</v>
      </c>
      <c r="J45" s="48"/>
      <c r="K45" s="75"/>
      <c r="L45" s="75"/>
      <c r="M45" s="75"/>
      <c r="N45" s="75"/>
      <c r="O45" s="108"/>
      <c r="P45" s="56"/>
    </row>
    <row r="46" ht="18" customHeight="1" spans="1:16">
      <c r="A46" s="60"/>
      <c r="B46" s="48"/>
      <c r="C46" s="49"/>
      <c r="D46" s="49"/>
      <c r="E46" s="49"/>
      <c r="F46" s="49"/>
      <c r="G46" s="107"/>
      <c r="H46" s="53"/>
      <c r="I46" s="77" t="s">
        <v>166</v>
      </c>
      <c r="J46" s="48">
        <f t="shared" ref="J46:N46" si="15">SUM(J47:J52)</f>
        <v>900</v>
      </c>
      <c r="K46" s="49">
        <f t="shared" si="15"/>
        <v>900</v>
      </c>
      <c r="L46" s="49">
        <f t="shared" si="15"/>
        <v>840</v>
      </c>
      <c r="M46" s="49">
        <f t="shared" si="15"/>
        <v>1045</v>
      </c>
      <c r="N46" s="49">
        <f t="shared" si="15"/>
        <v>1045</v>
      </c>
      <c r="O46" s="108">
        <f t="shared" si="13"/>
        <v>0</v>
      </c>
      <c r="P46" s="56">
        <f t="shared" si="14"/>
        <v>1</v>
      </c>
    </row>
    <row r="47" ht="30" customHeight="1" spans="1:16">
      <c r="A47" s="60"/>
      <c r="B47" s="48"/>
      <c r="C47" s="49"/>
      <c r="D47" s="49"/>
      <c r="E47" s="49"/>
      <c r="F47" s="49"/>
      <c r="G47" s="107"/>
      <c r="H47" s="53"/>
      <c r="I47" s="80" t="s">
        <v>167</v>
      </c>
      <c r="J47" s="48"/>
      <c r="K47" s="49"/>
      <c r="L47" s="49"/>
      <c r="M47" s="49"/>
      <c r="N47" s="49"/>
      <c r="O47" s="108"/>
      <c r="P47" s="56"/>
    </row>
    <row r="48" ht="18" customHeight="1" spans="1:16">
      <c r="A48" s="60"/>
      <c r="B48" s="48"/>
      <c r="C48" s="49"/>
      <c r="D48" s="49"/>
      <c r="E48" s="49"/>
      <c r="F48" s="49"/>
      <c r="G48" s="107"/>
      <c r="H48" s="53"/>
      <c r="I48" s="79" t="s">
        <v>168</v>
      </c>
      <c r="J48" s="48"/>
      <c r="K48" s="49"/>
      <c r="L48" s="49">
        <v>94</v>
      </c>
      <c r="M48" s="49"/>
      <c r="N48" s="49"/>
      <c r="O48" s="108">
        <f t="shared" si="13"/>
        <v>0</v>
      </c>
      <c r="P48" s="56"/>
    </row>
    <row r="49" ht="18" customHeight="1" spans="1:16">
      <c r="A49" s="60"/>
      <c r="B49" s="48"/>
      <c r="C49" s="49"/>
      <c r="D49" s="49"/>
      <c r="E49" s="49"/>
      <c r="F49" s="49"/>
      <c r="G49" s="107"/>
      <c r="H49" s="53"/>
      <c r="I49" s="79" t="s">
        <v>169</v>
      </c>
      <c r="J49" s="48"/>
      <c r="K49" s="49"/>
      <c r="L49" s="49">
        <v>110</v>
      </c>
      <c r="M49" s="49"/>
      <c r="N49" s="49"/>
      <c r="O49" s="108">
        <f t="shared" si="13"/>
        <v>0</v>
      </c>
      <c r="P49" s="56"/>
    </row>
    <row r="50" ht="18" customHeight="1" spans="1:16">
      <c r="A50" s="60"/>
      <c r="B50" s="48"/>
      <c r="C50" s="49"/>
      <c r="D50" s="49"/>
      <c r="E50" s="49"/>
      <c r="F50" s="49"/>
      <c r="G50" s="107"/>
      <c r="H50" s="53"/>
      <c r="I50" s="72" t="s">
        <v>170</v>
      </c>
      <c r="J50" s="48"/>
      <c r="K50" s="49"/>
      <c r="L50" s="49">
        <v>1</v>
      </c>
      <c r="M50" s="49"/>
      <c r="N50" s="49"/>
      <c r="O50" s="108">
        <f t="shared" si="13"/>
        <v>0</v>
      </c>
      <c r="P50" s="56"/>
    </row>
    <row r="51" ht="18" customHeight="1" spans="1:16">
      <c r="A51" s="60"/>
      <c r="B51" s="48"/>
      <c r="C51" s="49"/>
      <c r="D51" s="49"/>
      <c r="E51" s="49"/>
      <c r="F51" s="49"/>
      <c r="G51" s="107"/>
      <c r="H51" s="53"/>
      <c r="I51" s="72" t="s">
        <v>171</v>
      </c>
      <c r="J51" s="48">
        <v>900</v>
      </c>
      <c r="K51" s="75">
        <v>900</v>
      </c>
      <c r="L51" s="75">
        <v>635</v>
      </c>
      <c r="M51" s="75">
        <v>1045</v>
      </c>
      <c r="N51" s="75">
        <v>1045</v>
      </c>
      <c r="O51" s="108">
        <f t="shared" si="13"/>
        <v>0</v>
      </c>
      <c r="P51" s="56">
        <f t="shared" si="14"/>
        <v>1</v>
      </c>
    </row>
    <row r="52" ht="18" customHeight="1" spans="1:16">
      <c r="A52" s="60"/>
      <c r="B52" s="48"/>
      <c r="C52" s="49"/>
      <c r="D52" s="49"/>
      <c r="E52" s="49"/>
      <c r="F52" s="49"/>
      <c r="G52" s="107"/>
      <c r="H52" s="53"/>
      <c r="I52" s="72" t="s">
        <v>172</v>
      </c>
      <c r="J52" s="48"/>
      <c r="K52" s="49"/>
      <c r="L52" s="49"/>
      <c r="M52" s="49"/>
      <c r="N52" s="49"/>
      <c r="O52" s="53"/>
      <c r="P52" s="53"/>
    </row>
    <row r="53" ht="18" hidden="1" customHeight="1" spans="1:16">
      <c r="A53" s="48"/>
      <c r="B53" s="48"/>
      <c r="C53" s="49"/>
      <c r="D53" s="49"/>
      <c r="E53" s="49"/>
      <c r="F53" s="49"/>
      <c r="G53" s="107"/>
      <c r="H53" s="53"/>
      <c r="I53" s="72" t="s">
        <v>173</v>
      </c>
      <c r="J53" s="48">
        <f t="shared" ref="J53:N53" si="16">SUM(J54:J55)</f>
        <v>0</v>
      </c>
      <c r="K53" s="49">
        <f t="shared" si="16"/>
        <v>0</v>
      </c>
      <c r="L53" s="49">
        <f t="shared" si="16"/>
        <v>0</v>
      </c>
      <c r="M53" s="49">
        <f t="shared" si="16"/>
        <v>0</v>
      </c>
      <c r="N53" s="49">
        <f t="shared" si="16"/>
        <v>0</v>
      </c>
      <c r="O53" s="53" t="e">
        <f t="shared" ref="O53:O55" si="17">(M53/J53-1)*100</f>
        <v>#DIV/0!</v>
      </c>
      <c r="P53" s="53" t="e">
        <f t="shared" ref="P53:P55" si="18">(M53/L53-1)*100</f>
        <v>#DIV/0!</v>
      </c>
    </row>
    <row r="54" ht="18" hidden="1" customHeight="1" spans="1:16">
      <c r="A54" s="48"/>
      <c r="B54" s="48"/>
      <c r="C54" s="49"/>
      <c r="D54" s="49"/>
      <c r="E54" s="49"/>
      <c r="F54" s="49"/>
      <c r="G54" s="107"/>
      <c r="H54" s="53"/>
      <c r="I54" s="72" t="s">
        <v>174</v>
      </c>
      <c r="J54" s="48"/>
      <c r="K54" s="49"/>
      <c r="L54" s="49"/>
      <c r="M54" s="49"/>
      <c r="N54" s="49"/>
      <c r="O54" s="53" t="e">
        <f t="shared" si="17"/>
        <v>#DIV/0!</v>
      </c>
      <c r="P54" s="53" t="e">
        <f t="shared" si="18"/>
        <v>#DIV/0!</v>
      </c>
    </row>
    <row r="55" ht="18" hidden="1" customHeight="1" spans="1:16">
      <c r="A55" s="48"/>
      <c r="B55" s="48"/>
      <c r="C55" s="49"/>
      <c r="D55" s="49"/>
      <c r="E55" s="49"/>
      <c r="F55" s="49"/>
      <c r="G55" s="107"/>
      <c r="H55" s="53"/>
      <c r="I55" s="72" t="s">
        <v>175</v>
      </c>
      <c r="J55" s="48"/>
      <c r="K55" s="49"/>
      <c r="L55" s="49"/>
      <c r="M55" s="49"/>
      <c r="N55" s="49"/>
      <c r="O55" s="53" t="e">
        <f t="shared" si="17"/>
        <v>#DIV/0!</v>
      </c>
      <c r="P55" s="53" t="e">
        <f t="shared" si="18"/>
        <v>#DIV/0!</v>
      </c>
    </row>
    <row r="56" ht="8" customHeight="1" spans="1:16">
      <c r="A56" s="48"/>
      <c r="B56" s="48"/>
      <c r="C56" s="49"/>
      <c r="D56" s="49"/>
      <c r="E56" s="49"/>
      <c r="F56" s="49"/>
      <c r="G56" s="107"/>
      <c r="H56" s="53"/>
      <c r="I56" s="48"/>
      <c r="J56" s="48"/>
      <c r="K56" s="49"/>
      <c r="L56" s="49"/>
      <c r="M56" s="49"/>
      <c r="N56" s="49"/>
      <c r="O56" s="53"/>
      <c r="P56" s="53"/>
    </row>
    <row r="57" s="36" customFormat="1" ht="18" customHeight="1" spans="1:16">
      <c r="A57" s="61" t="s">
        <v>176</v>
      </c>
      <c r="B57" s="43">
        <f t="shared" ref="B57:F57" si="19">SUM(B58:B63)</f>
        <v>844200</v>
      </c>
      <c r="C57" s="44">
        <f t="shared" si="19"/>
        <v>1006400</v>
      </c>
      <c r="D57" s="44">
        <f t="shared" si="19"/>
        <v>1006400</v>
      </c>
      <c r="E57" s="44">
        <f t="shared" si="19"/>
        <v>965500</v>
      </c>
      <c r="F57" s="44">
        <f t="shared" si="19"/>
        <v>1300500</v>
      </c>
      <c r="G57" s="45">
        <f>F57-E57</f>
        <v>335000</v>
      </c>
      <c r="H57" s="46">
        <f>F57/E57</f>
        <v>1.34697048161574</v>
      </c>
      <c r="I57" s="61" t="s">
        <v>177</v>
      </c>
      <c r="J57" s="43">
        <f t="shared" ref="J57:N57" si="20">SUM(J58:J63)</f>
        <v>243465</v>
      </c>
      <c r="K57" s="44">
        <f t="shared" si="20"/>
        <v>243465</v>
      </c>
      <c r="L57" s="44">
        <f t="shared" si="20"/>
        <v>243465</v>
      </c>
      <c r="M57" s="44">
        <f t="shared" si="20"/>
        <v>302542</v>
      </c>
      <c r="N57" s="44">
        <f t="shared" si="20"/>
        <v>337542</v>
      </c>
      <c r="O57" s="44">
        <f>N57-M57</f>
        <v>35000</v>
      </c>
      <c r="P57" s="46">
        <f>N57/M57</f>
        <v>1.1156864170925</v>
      </c>
    </row>
    <row r="58" ht="18" customHeight="1" spans="1:16">
      <c r="A58" s="62" t="s">
        <v>178</v>
      </c>
      <c r="B58" s="48"/>
      <c r="C58" s="65"/>
      <c r="D58" s="106"/>
      <c r="E58" s="65"/>
      <c r="F58" s="65"/>
      <c r="G58" s="52"/>
      <c r="H58" s="53"/>
      <c r="I58" s="81" t="s">
        <v>179</v>
      </c>
      <c r="J58" s="48"/>
      <c r="K58" s="49"/>
      <c r="L58" s="49"/>
      <c r="M58" s="49"/>
      <c r="N58" s="49"/>
      <c r="O58" s="53"/>
      <c r="P58" s="53"/>
    </row>
    <row r="59" ht="18" customHeight="1" spans="1:16">
      <c r="A59" s="62" t="s">
        <v>180</v>
      </c>
      <c r="B59" s="48"/>
      <c r="C59" s="65"/>
      <c r="D59" s="106"/>
      <c r="E59" s="65"/>
      <c r="F59" s="65"/>
      <c r="G59" s="52"/>
      <c r="H59" s="53"/>
      <c r="I59" s="81" t="s">
        <v>181</v>
      </c>
      <c r="J59" s="48">
        <v>123465</v>
      </c>
      <c r="K59" s="105">
        <v>123465</v>
      </c>
      <c r="L59" s="105">
        <v>123465</v>
      </c>
      <c r="M59" s="75">
        <v>138542</v>
      </c>
      <c r="N59" s="75">
        <f>138542</f>
        <v>138542</v>
      </c>
      <c r="O59" s="52">
        <f t="shared" ref="O59:O63" si="21">N59-M59</f>
        <v>0</v>
      </c>
      <c r="P59" s="56">
        <f t="shared" ref="P59:P63" si="22">N59/M59</f>
        <v>1</v>
      </c>
    </row>
    <row r="60" ht="18" customHeight="1" spans="1:16">
      <c r="A60" s="64" t="s">
        <v>182</v>
      </c>
      <c r="B60" s="48"/>
      <c r="C60" s="65"/>
      <c r="D60" s="106"/>
      <c r="E60" s="65"/>
      <c r="F60" s="65"/>
      <c r="G60" s="52"/>
      <c r="H60" s="53"/>
      <c r="I60" s="81" t="s">
        <v>183</v>
      </c>
      <c r="J60" s="48">
        <v>120000</v>
      </c>
      <c r="K60" s="111">
        <v>120000</v>
      </c>
      <c r="L60" s="111">
        <v>120000</v>
      </c>
      <c r="M60" s="75">
        <v>70000</v>
      </c>
      <c r="N60" s="75">
        <v>70000</v>
      </c>
      <c r="O60" s="108">
        <f t="shared" si="21"/>
        <v>0</v>
      </c>
      <c r="P60" s="56">
        <f t="shared" si="22"/>
        <v>1</v>
      </c>
    </row>
    <row r="61" ht="18" customHeight="1" spans="1:16">
      <c r="A61" s="64" t="s">
        <v>184</v>
      </c>
      <c r="B61" s="48">
        <v>34000</v>
      </c>
      <c r="C61" s="65">
        <v>34000</v>
      </c>
      <c r="D61" s="65">
        <v>34000</v>
      </c>
      <c r="E61" s="65">
        <f>24600-4600</f>
        <v>20000</v>
      </c>
      <c r="F61" s="65">
        <v>20000</v>
      </c>
      <c r="G61" s="52">
        <f>F61-E61</f>
        <v>0</v>
      </c>
      <c r="H61" s="56"/>
      <c r="I61" s="81" t="s">
        <v>185</v>
      </c>
      <c r="J61" s="48"/>
      <c r="K61" s="49"/>
      <c r="L61" s="49"/>
      <c r="M61" s="75">
        <v>70000</v>
      </c>
      <c r="N61" s="75">
        <v>70000</v>
      </c>
      <c r="O61" s="108">
        <f t="shared" si="21"/>
        <v>0</v>
      </c>
      <c r="P61" s="56">
        <f t="shared" si="22"/>
        <v>1</v>
      </c>
    </row>
    <row r="62" ht="18" customHeight="1" spans="1:16">
      <c r="A62" s="66" t="s">
        <v>186</v>
      </c>
      <c r="B62" s="48">
        <v>590200</v>
      </c>
      <c r="C62" s="65">
        <f>590200+162200</f>
        <v>752400</v>
      </c>
      <c r="D62" s="65">
        <v>752400</v>
      </c>
      <c r="E62" s="65">
        <f>691900+4600</f>
        <v>696500</v>
      </c>
      <c r="F62" s="65">
        <f>E62+300000</f>
        <v>996500</v>
      </c>
      <c r="G62" s="52">
        <f t="shared" ref="G61:G68" si="23">F62-E62</f>
        <v>300000</v>
      </c>
      <c r="H62" s="56">
        <f t="shared" ref="H61:H68" si="24">F62/E62</f>
        <v>1.43072505384063</v>
      </c>
      <c r="I62" s="81" t="s">
        <v>187</v>
      </c>
      <c r="J62" s="48"/>
      <c r="K62" s="49"/>
      <c r="L62" s="49"/>
      <c r="M62" s="75">
        <v>24000</v>
      </c>
      <c r="N62" s="75">
        <f>24000+35000</f>
        <v>59000</v>
      </c>
      <c r="O62" s="52">
        <f t="shared" si="21"/>
        <v>35000</v>
      </c>
      <c r="P62" s="56">
        <f t="shared" si="22"/>
        <v>2.45833333333333</v>
      </c>
    </row>
    <row r="63" ht="18" customHeight="1" spans="1:16">
      <c r="A63" s="48" t="s">
        <v>188</v>
      </c>
      <c r="B63" s="48">
        <v>220000</v>
      </c>
      <c r="C63" s="65">
        <v>220000</v>
      </c>
      <c r="D63" s="65">
        <v>220000</v>
      </c>
      <c r="E63" s="65">
        <v>249000</v>
      </c>
      <c r="F63" s="65">
        <f>249000+35000</f>
        <v>284000</v>
      </c>
      <c r="G63" s="52">
        <f t="shared" si="23"/>
        <v>35000</v>
      </c>
      <c r="H63" s="56">
        <f t="shared" si="24"/>
        <v>1.14056224899598</v>
      </c>
      <c r="I63" s="48" t="s">
        <v>189</v>
      </c>
      <c r="J63" s="48"/>
      <c r="K63" s="49"/>
      <c r="L63" s="49"/>
      <c r="M63" s="49"/>
      <c r="N63" s="49"/>
      <c r="O63" s="52"/>
      <c r="P63" s="56"/>
    </row>
    <row r="64" ht="8" customHeight="1" spans="1:16">
      <c r="A64" s="48"/>
      <c r="B64" s="48"/>
      <c r="C64" s="49"/>
      <c r="D64" s="49"/>
      <c r="E64" s="49"/>
      <c r="F64" s="49"/>
      <c r="G64" s="107"/>
      <c r="H64" s="53"/>
      <c r="I64" s="48"/>
      <c r="J64" s="48"/>
      <c r="K64" s="49"/>
      <c r="L64" s="49"/>
      <c r="M64" s="49"/>
      <c r="N64" s="49"/>
      <c r="O64" s="53"/>
      <c r="P64" s="53"/>
    </row>
    <row r="65" s="36" customFormat="1" ht="18" customHeight="1" spans="1:16">
      <c r="A65" s="42" t="s">
        <v>72</v>
      </c>
      <c r="B65" s="43">
        <f t="shared" ref="B65:F65" si="25">SUM(B66:B69)</f>
        <v>63393</v>
      </c>
      <c r="C65" s="44">
        <f t="shared" si="25"/>
        <v>63393</v>
      </c>
      <c r="D65" s="44">
        <f t="shared" si="25"/>
        <v>178582</v>
      </c>
      <c r="E65" s="44">
        <f t="shared" si="25"/>
        <v>246709</v>
      </c>
      <c r="F65" s="44">
        <f t="shared" si="25"/>
        <v>246709</v>
      </c>
      <c r="G65" s="104">
        <f t="shared" si="23"/>
        <v>0</v>
      </c>
      <c r="H65" s="46">
        <f t="shared" si="24"/>
        <v>1</v>
      </c>
      <c r="I65" s="42" t="s">
        <v>190</v>
      </c>
      <c r="J65" s="43">
        <f t="shared" ref="J65:N65" si="26">SUM(J66:J68)</f>
        <v>4924</v>
      </c>
      <c r="K65" s="44">
        <f t="shared" si="26"/>
        <v>4924</v>
      </c>
      <c r="L65" s="44">
        <f t="shared" si="26"/>
        <v>260182</v>
      </c>
      <c r="M65" s="44">
        <f t="shared" si="26"/>
        <v>6739</v>
      </c>
      <c r="N65" s="44">
        <f t="shared" si="26"/>
        <v>6739</v>
      </c>
      <c r="O65" s="112">
        <f t="shared" ref="O65:O68" si="27">N65-M65</f>
        <v>0</v>
      </c>
      <c r="P65" s="46">
        <f t="shared" ref="P65:P68" si="28">N65/M65</f>
        <v>1</v>
      </c>
    </row>
    <row r="66" ht="18" customHeight="1" spans="1:16">
      <c r="A66" s="83" t="s">
        <v>191</v>
      </c>
      <c r="B66" s="48">
        <v>5885</v>
      </c>
      <c r="C66" s="65">
        <v>5885</v>
      </c>
      <c r="D66" s="106">
        <v>70497</v>
      </c>
      <c r="E66" s="106">
        <v>2266</v>
      </c>
      <c r="F66" s="106">
        <v>2266</v>
      </c>
      <c r="G66" s="107">
        <f t="shared" si="23"/>
        <v>0</v>
      </c>
      <c r="H66" s="56">
        <f t="shared" si="24"/>
        <v>1</v>
      </c>
      <c r="I66" s="113" t="s">
        <v>192</v>
      </c>
      <c r="J66" s="48"/>
      <c r="K66" s="49"/>
      <c r="L66" s="49"/>
      <c r="M66" s="49"/>
      <c r="N66" s="49"/>
      <c r="O66" s="53"/>
      <c r="P66" s="53"/>
    </row>
    <row r="67" ht="18" customHeight="1" spans="1:16">
      <c r="A67" s="83" t="s">
        <v>193</v>
      </c>
      <c r="B67" s="48"/>
      <c r="C67" s="65"/>
      <c r="D67" s="106"/>
      <c r="E67" s="106"/>
      <c r="F67" s="106"/>
      <c r="G67" s="107"/>
      <c r="H67" s="56"/>
      <c r="I67" s="113" t="s">
        <v>194</v>
      </c>
      <c r="J67" s="48"/>
      <c r="K67" s="49"/>
      <c r="L67" s="49">
        <v>15739</v>
      </c>
      <c r="M67" s="49"/>
      <c r="N67" s="49"/>
      <c r="O67" s="108">
        <f t="shared" si="27"/>
        <v>0</v>
      </c>
      <c r="P67" s="56"/>
    </row>
    <row r="68" ht="18" customHeight="1" spans="1:16">
      <c r="A68" s="83" t="s">
        <v>195</v>
      </c>
      <c r="B68" s="48">
        <v>57508</v>
      </c>
      <c r="C68" s="65">
        <v>57508</v>
      </c>
      <c r="D68" s="106">
        <v>108085</v>
      </c>
      <c r="E68" s="106">
        <v>244443</v>
      </c>
      <c r="F68" s="106">
        <v>244443</v>
      </c>
      <c r="G68" s="107">
        <f t="shared" si="23"/>
        <v>0</v>
      </c>
      <c r="H68" s="56">
        <f t="shared" si="24"/>
        <v>1</v>
      </c>
      <c r="I68" s="114" t="s">
        <v>196</v>
      </c>
      <c r="J68" s="48">
        <v>4924</v>
      </c>
      <c r="K68" s="105">
        <f>4924</f>
        <v>4924</v>
      </c>
      <c r="L68" s="106">
        <v>244443</v>
      </c>
      <c r="M68" s="49">
        <v>6739</v>
      </c>
      <c r="N68" s="49">
        <v>6739</v>
      </c>
      <c r="O68" s="108">
        <f t="shared" si="27"/>
        <v>0</v>
      </c>
      <c r="P68" s="56">
        <f t="shared" si="28"/>
        <v>1</v>
      </c>
    </row>
    <row r="69" ht="18" customHeight="1" spans="1:16">
      <c r="A69" s="83" t="s">
        <v>197</v>
      </c>
      <c r="B69" s="48"/>
      <c r="C69" s="49"/>
      <c r="D69" s="49"/>
      <c r="E69" s="49"/>
      <c r="F69" s="49"/>
      <c r="G69" s="107"/>
      <c r="H69" s="53"/>
      <c r="I69" s="42"/>
      <c r="J69" s="48"/>
      <c r="K69" s="49"/>
      <c r="L69" s="49"/>
      <c r="M69" s="49"/>
      <c r="N69" s="49"/>
      <c r="O69" s="53"/>
      <c r="P69" s="53"/>
    </row>
    <row r="70" ht="8" customHeight="1" spans="1:16">
      <c r="A70" s="42"/>
      <c r="B70" s="48"/>
      <c r="C70" s="49"/>
      <c r="D70" s="49"/>
      <c r="E70" s="49"/>
      <c r="F70" s="49"/>
      <c r="G70" s="107"/>
      <c r="H70" s="53"/>
      <c r="I70" s="48"/>
      <c r="J70" s="48"/>
      <c r="K70" s="49"/>
      <c r="L70" s="49"/>
      <c r="M70" s="49"/>
      <c r="N70" s="49"/>
      <c r="O70" s="53"/>
      <c r="P70" s="53"/>
    </row>
    <row r="71" s="36" customFormat="1" ht="18" customHeight="1" spans="1:16">
      <c r="A71" s="42" t="s">
        <v>109</v>
      </c>
      <c r="B71" s="43">
        <f t="shared" ref="B71:F71" si="29">B7+B57+B65</f>
        <v>2601053</v>
      </c>
      <c r="C71" s="44">
        <f t="shared" si="29"/>
        <v>2763253</v>
      </c>
      <c r="D71" s="44">
        <f t="shared" si="29"/>
        <v>2718343</v>
      </c>
      <c r="E71" s="44">
        <f t="shared" si="29"/>
        <v>2905669</v>
      </c>
      <c r="F71" s="44">
        <f t="shared" si="29"/>
        <v>3240669</v>
      </c>
      <c r="G71" s="44">
        <f>F71-E71</f>
        <v>335000</v>
      </c>
      <c r="H71" s="46">
        <f>F71/E71</f>
        <v>1.11529186565985</v>
      </c>
      <c r="I71" s="87" t="s">
        <v>110</v>
      </c>
      <c r="J71" s="43">
        <f t="shared" ref="G71:N71" si="30">J7+J57+J65</f>
        <v>2601053</v>
      </c>
      <c r="K71" s="44">
        <f t="shared" si="30"/>
        <v>2763253</v>
      </c>
      <c r="L71" s="44">
        <f t="shared" si="30"/>
        <v>2718343</v>
      </c>
      <c r="M71" s="44">
        <f t="shared" si="30"/>
        <v>2905669</v>
      </c>
      <c r="N71" s="44">
        <f t="shared" si="30"/>
        <v>3240669</v>
      </c>
      <c r="O71" s="44">
        <f>N71-M71</f>
        <v>335000</v>
      </c>
      <c r="P71" s="46">
        <f>N71/M71</f>
        <v>1.11529186565985</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conditionalFormatting sqref="A58:A59 I58:I62">
    <cfRule type="expression" dxfId="0" priority="1" stopIfTrue="1">
      <formula>"len($A:$A)=3"</formula>
    </cfRule>
  </conditionalFormatting>
  <printOptions horizontalCentered="1"/>
  <pageMargins left="0.55" right="0.55" top="0.511805555555556" bottom="0.393055555555556" header="0.393055555555556" footer="0.118055555555556"/>
  <pageSetup paperSize="9" scale="61" firstPageNumber="10" fitToHeight="0" orientation="landscape" useFirstPageNumber="1" horizontalDpi="600"/>
  <headerFooter>
    <oddFooter>&amp;C&amp;22—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71"/>
  <sheetViews>
    <sheetView view="pageBreakPreview" zoomScale="85" zoomScaleNormal="100" zoomScaleSheetLayoutView="85" workbookViewId="0">
      <pane xSplit="1" ySplit="6" topLeftCell="C7" activePane="bottomRight" state="frozen"/>
      <selection/>
      <selection pane="topRight"/>
      <selection pane="bottomLeft"/>
      <selection pane="bottomRight" activeCell="A1" sqref="$A1:$XFD1048576"/>
    </sheetView>
  </sheetViews>
  <sheetFormatPr defaultColWidth="8.89166666666667" defaultRowHeight="13.5"/>
  <cols>
    <col min="1" max="1" width="38.2083333333333" style="37" customWidth="1"/>
    <col min="2" max="3" width="9.125" style="37" customWidth="1"/>
    <col min="4" max="6" width="9.41666666666667" style="37" customWidth="1"/>
    <col min="7" max="7" width="9.78333333333333" style="37" customWidth="1"/>
    <col min="8" max="8" width="8.41666666666667" style="37" customWidth="1"/>
    <col min="9" max="9" width="41" style="37" customWidth="1"/>
    <col min="10" max="14" width="9.41666666666667" style="37" customWidth="1"/>
    <col min="15" max="15" width="8.56666666666667" style="37" customWidth="1"/>
    <col min="16" max="16" width="8.41666666666667" style="37" customWidth="1"/>
    <col min="17" max="16384" width="8.89166666666667" style="37"/>
  </cols>
  <sheetData>
    <row r="1" ht="16" customHeight="1" spans="1:1">
      <c r="A1" s="37" t="s">
        <v>198</v>
      </c>
    </row>
    <row r="2" ht="32" customHeight="1" spans="1:16">
      <c r="A2" s="38" t="s">
        <v>199</v>
      </c>
      <c r="B2" s="38"/>
      <c r="C2" s="38"/>
      <c r="D2" s="38"/>
      <c r="E2" s="38"/>
      <c r="F2" s="38"/>
      <c r="G2" s="38"/>
      <c r="H2" s="38"/>
      <c r="I2" s="38"/>
      <c r="J2" s="38"/>
      <c r="K2" s="38"/>
      <c r="L2" s="38"/>
      <c r="M2" s="38"/>
      <c r="N2" s="38"/>
      <c r="O2" s="38"/>
      <c r="P2" s="38"/>
    </row>
    <row r="3" ht="16" customHeight="1" spans="15:16">
      <c r="O3" s="96" t="s">
        <v>2</v>
      </c>
      <c r="P3" s="96"/>
    </row>
    <row r="4" s="36" customFormat="1" ht="20" customHeight="1" spans="1:16">
      <c r="A4" s="39" t="s">
        <v>3</v>
      </c>
      <c r="B4" s="39"/>
      <c r="C4" s="39"/>
      <c r="D4" s="39"/>
      <c r="E4" s="39"/>
      <c r="F4" s="39"/>
      <c r="G4" s="39"/>
      <c r="H4" s="39"/>
      <c r="I4" s="39" t="s">
        <v>4</v>
      </c>
      <c r="J4" s="39"/>
      <c r="K4" s="39"/>
      <c r="L4" s="39"/>
      <c r="M4" s="39"/>
      <c r="N4" s="39"/>
      <c r="O4" s="39"/>
      <c r="P4" s="39"/>
    </row>
    <row r="5" s="36" customFormat="1" ht="26.8" customHeight="1" spans="1:16">
      <c r="A5" s="40" t="s">
        <v>5</v>
      </c>
      <c r="B5" s="41" t="s">
        <v>6</v>
      </c>
      <c r="C5" s="41" t="s">
        <v>7</v>
      </c>
      <c r="D5" s="41" t="s">
        <v>8</v>
      </c>
      <c r="E5" s="41" t="s">
        <v>9</v>
      </c>
      <c r="F5" s="41" t="s">
        <v>10</v>
      </c>
      <c r="G5" s="41" t="s">
        <v>11</v>
      </c>
      <c r="H5" s="41" t="s">
        <v>12</v>
      </c>
      <c r="I5" s="69" t="s">
        <v>13</v>
      </c>
      <c r="J5" s="41" t="s">
        <v>6</v>
      </c>
      <c r="K5" s="41" t="s">
        <v>7</v>
      </c>
      <c r="L5" s="41" t="s">
        <v>8</v>
      </c>
      <c r="M5" s="41" t="s">
        <v>9</v>
      </c>
      <c r="N5" s="41" t="s">
        <v>10</v>
      </c>
      <c r="O5" s="41" t="s">
        <v>11</v>
      </c>
      <c r="P5" s="41" t="s">
        <v>12</v>
      </c>
    </row>
    <row r="6" s="36" customFormat="1" ht="26.8" customHeight="1" spans="1:16">
      <c r="A6" s="40"/>
      <c r="B6" s="41"/>
      <c r="C6" s="41"/>
      <c r="D6" s="41"/>
      <c r="E6" s="41"/>
      <c r="F6" s="41"/>
      <c r="G6" s="41"/>
      <c r="H6" s="41"/>
      <c r="I6" s="69"/>
      <c r="J6" s="41"/>
      <c r="K6" s="41"/>
      <c r="L6" s="41"/>
      <c r="M6" s="41"/>
      <c r="N6" s="41"/>
      <c r="O6" s="41"/>
      <c r="P6" s="41"/>
    </row>
    <row r="7" s="36" customFormat="1" ht="18" customHeight="1" spans="1:16">
      <c r="A7" s="87" t="s">
        <v>14</v>
      </c>
      <c r="B7" s="44">
        <f t="shared" ref="B7:F7" si="0">B8+B23</f>
        <v>970109</v>
      </c>
      <c r="C7" s="44">
        <f t="shared" si="0"/>
        <v>970109</v>
      </c>
      <c r="D7" s="44">
        <f t="shared" si="0"/>
        <v>957559</v>
      </c>
      <c r="E7" s="44">
        <f t="shared" si="0"/>
        <v>1014596</v>
      </c>
      <c r="F7" s="44">
        <f t="shared" si="0"/>
        <v>1014596</v>
      </c>
      <c r="G7" s="45">
        <f>F7-E7</f>
        <v>0</v>
      </c>
      <c r="H7" s="46">
        <f>F7/E7</f>
        <v>1</v>
      </c>
      <c r="I7" s="87" t="s">
        <v>15</v>
      </c>
      <c r="J7" s="44">
        <f t="shared" ref="J7:N7" si="1">SUM(J8:J30)</f>
        <v>1444865</v>
      </c>
      <c r="K7" s="44">
        <f t="shared" si="1"/>
        <v>1468865</v>
      </c>
      <c r="L7" s="44">
        <f t="shared" si="1"/>
        <v>1647020</v>
      </c>
      <c r="M7" s="44">
        <f t="shared" si="1"/>
        <v>1946663</v>
      </c>
      <c r="N7" s="44">
        <f t="shared" si="1"/>
        <v>1946663</v>
      </c>
      <c r="O7" s="45">
        <f>N7-M7</f>
        <v>0</v>
      </c>
      <c r="P7" s="46">
        <f>N7/M7</f>
        <v>1</v>
      </c>
    </row>
    <row r="8" ht="18" customHeight="1" spans="1:16">
      <c r="A8" s="88" t="s">
        <v>16</v>
      </c>
      <c r="B8" s="49">
        <f t="shared" ref="B8:F8" si="2">SUM(B9:B22)</f>
        <v>624555</v>
      </c>
      <c r="C8" s="49">
        <f t="shared" si="2"/>
        <v>624555</v>
      </c>
      <c r="D8" s="49">
        <f t="shared" si="2"/>
        <v>551769</v>
      </c>
      <c r="E8" s="49">
        <f t="shared" si="2"/>
        <v>638644</v>
      </c>
      <c r="F8" s="49">
        <f t="shared" si="2"/>
        <v>638644</v>
      </c>
      <c r="G8" s="52">
        <f>F8-E8</f>
        <v>0</v>
      </c>
      <c r="H8" s="56">
        <f>F8/E8</f>
        <v>1</v>
      </c>
      <c r="I8" s="89" t="s">
        <v>17</v>
      </c>
      <c r="J8" s="49">
        <v>133081</v>
      </c>
      <c r="K8" s="63">
        <v>133081</v>
      </c>
      <c r="L8" s="63">
        <v>134880</v>
      </c>
      <c r="M8" s="63">
        <v>180542</v>
      </c>
      <c r="N8" s="63">
        <v>180542</v>
      </c>
      <c r="O8" s="52">
        <f t="shared" ref="O8:O31" si="3">N8-M8</f>
        <v>0</v>
      </c>
      <c r="P8" s="56">
        <f t="shared" ref="P8:P31" si="4">N8/M8</f>
        <v>1</v>
      </c>
    </row>
    <row r="9" ht="18" customHeight="1" spans="1:16">
      <c r="A9" s="89" t="s">
        <v>18</v>
      </c>
      <c r="B9" s="49">
        <v>60673</v>
      </c>
      <c r="C9" s="63">
        <v>60673</v>
      </c>
      <c r="D9" s="63">
        <v>64661</v>
      </c>
      <c r="E9" s="63">
        <v>67263</v>
      </c>
      <c r="F9" s="63">
        <v>67263</v>
      </c>
      <c r="G9" s="52">
        <f t="shared" ref="G9:G31" si="5">F9-E9</f>
        <v>0</v>
      </c>
      <c r="H9" s="56">
        <f t="shared" ref="H9:H31" si="6">F9/E9</f>
        <v>1</v>
      </c>
      <c r="I9" s="89" t="s">
        <v>19</v>
      </c>
      <c r="J9" s="49"/>
      <c r="K9" s="63">
        <v>0</v>
      </c>
      <c r="L9" s="63">
        <v>10</v>
      </c>
      <c r="M9" s="63">
        <v>0</v>
      </c>
      <c r="N9" s="63">
        <v>0</v>
      </c>
      <c r="O9" s="52"/>
      <c r="P9" s="56"/>
    </row>
    <row r="10" ht="18" customHeight="1" spans="1:16">
      <c r="A10" s="89" t="s">
        <v>20</v>
      </c>
      <c r="B10" s="49">
        <v>51000</v>
      </c>
      <c r="C10" s="63">
        <v>51000</v>
      </c>
      <c r="D10" s="63">
        <v>37911</v>
      </c>
      <c r="E10" s="63">
        <v>44520</v>
      </c>
      <c r="F10" s="63">
        <v>44520</v>
      </c>
      <c r="G10" s="52">
        <f t="shared" si="5"/>
        <v>0</v>
      </c>
      <c r="H10" s="56">
        <f t="shared" si="6"/>
        <v>1</v>
      </c>
      <c r="I10" s="89" t="s">
        <v>21</v>
      </c>
      <c r="J10" s="49">
        <v>15590</v>
      </c>
      <c r="K10" s="63">
        <v>15590</v>
      </c>
      <c r="L10" s="63">
        <v>10684</v>
      </c>
      <c r="M10" s="63">
        <v>10969</v>
      </c>
      <c r="N10" s="63">
        <v>10969</v>
      </c>
      <c r="O10" s="52">
        <f t="shared" si="3"/>
        <v>0</v>
      </c>
      <c r="P10" s="56">
        <f t="shared" si="4"/>
        <v>1</v>
      </c>
    </row>
    <row r="11" ht="18" customHeight="1" spans="1:16">
      <c r="A11" s="89" t="s">
        <v>22</v>
      </c>
      <c r="B11" s="49">
        <v>16500</v>
      </c>
      <c r="C11" s="63">
        <v>16500</v>
      </c>
      <c r="D11" s="63">
        <v>17084</v>
      </c>
      <c r="E11" s="63">
        <v>17640</v>
      </c>
      <c r="F11" s="63">
        <v>17640</v>
      </c>
      <c r="G11" s="52">
        <f t="shared" si="5"/>
        <v>0</v>
      </c>
      <c r="H11" s="56">
        <f t="shared" si="6"/>
        <v>1</v>
      </c>
      <c r="I11" s="89" t="s">
        <v>23</v>
      </c>
      <c r="J11" s="49">
        <v>86557</v>
      </c>
      <c r="K11" s="63">
        <v>86557</v>
      </c>
      <c r="L11" s="63">
        <v>85364</v>
      </c>
      <c r="M11" s="63">
        <v>102645</v>
      </c>
      <c r="N11" s="63">
        <v>102645</v>
      </c>
      <c r="O11" s="52">
        <f t="shared" si="3"/>
        <v>0</v>
      </c>
      <c r="P11" s="56">
        <f t="shared" si="4"/>
        <v>1</v>
      </c>
    </row>
    <row r="12" ht="18" customHeight="1" spans="1:16">
      <c r="A12" s="89" t="s">
        <v>24</v>
      </c>
      <c r="B12" s="49">
        <v>105</v>
      </c>
      <c r="C12" s="63">
        <v>105</v>
      </c>
      <c r="D12" s="63">
        <v>122</v>
      </c>
      <c r="E12" s="63">
        <v>116</v>
      </c>
      <c r="F12" s="63">
        <v>116</v>
      </c>
      <c r="G12" s="52">
        <f t="shared" si="5"/>
        <v>0</v>
      </c>
      <c r="H12" s="56">
        <f t="shared" si="6"/>
        <v>1</v>
      </c>
      <c r="I12" s="89" t="s">
        <v>25</v>
      </c>
      <c r="J12" s="49">
        <v>145566</v>
      </c>
      <c r="K12" s="63">
        <f>145566+4000</f>
        <v>149566</v>
      </c>
      <c r="L12" s="63">
        <v>117043</v>
      </c>
      <c r="M12" s="63">
        <f>157893+5908+4000</f>
        <v>167801</v>
      </c>
      <c r="N12" s="63">
        <f>157893+5908+4000</f>
        <v>167801</v>
      </c>
      <c r="O12" s="52">
        <f t="shared" si="3"/>
        <v>0</v>
      </c>
      <c r="P12" s="56">
        <f t="shared" si="4"/>
        <v>1</v>
      </c>
    </row>
    <row r="13" ht="18" customHeight="1" spans="1:16">
      <c r="A13" s="89" t="s">
        <v>26</v>
      </c>
      <c r="B13" s="49">
        <v>15000</v>
      </c>
      <c r="C13" s="63">
        <v>15000</v>
      </c>
      <c r="D13" s="63">
        <v>12475</v>
      </c>
      <c r="E13" s="63">
        <v>13500</v>
      </c>
      <c r="F13" s="63">
        <v>13500</v>
      </c>
      <c r="G13" s="52">
        <f t="shared" si="5"/>
        <v>0</v>
      </c>
      <c r="H13" s="56">
        <f t="shared" si="6"/>
        <v>1</v>
      </c>
      <c r="I13" s="89" t="s">
        <v>27</v>
      </c>
      <c r="J13" s="49">
        <v>144362</v>
      </c>
      <c r="K13" s="63">
        <v>144362</v>
      </c>
      <c r="L13" s="63">
        <v>205148</v>
      </c>
      <c r="M13" s="63">
        <v>218514</v>
      </c>
      <c r="N13" s="63">
        <v>218514</v>
      </c>
      <c r="O13" s="52">
        <f t="shared" si="3"/>
        <v>0</v>
      </c>
      <c r="P13" s="56">
        <f t="shared" si="4"/>
        <v>1</v>
      </c>
    </row>
    <row r="14" ht="18" customHeight="1" spans="1:16">
      <c r="A14" s="89" t="s">
        <v>28</v>
      </c>
      <c r="B14" s="49">
        <v>61250</v>
      </c>
      <c r="C14" s="63">
        <v>61250</v>
      </c>
      <c r="D14" s="63">
        <v>39002</v>
      </c>
      <c r="E14" s="63">
        <v>44100</v>
      </c>
      <c r="F14" s="63">
        <v>44100</v>
      </c>
      <c r="G14" s="52">
        <f t="shared" si="5"/>
        <v>0</v>
      </c>
      <c r="H14" s="56">
        <f t="shared" si="6"/>
        <v>1</v>
      </c>
      <c r="I14" s="89" t="s">
        <v>29</v>
      </c>
      <c r="J14" s="49">
        <v>60821</v>
      </c>
      <c r="K14" s="63">
        <v>60821</v>
      </c>
      <c r="L14" s="63">
        <v>70916</v>
      </c>
      <c r="M14" s="63">
        <f>71300+12500</f>
        <v>83800</v>
      </c>
      <c r="N14" s="63">
        <f>71300+12500</f>
        <v>83800</v>
      </c>
      <c r="O14" s="52">
        <f t="shared" si="3"/>
        <v>0</v>
      </c>
      <c r="P14" s="56">
        <f t="shared" si="4"/>
        <v>1</v>
      </c>
    </row>
    <row r="15" ht="18" customHeight="1" spans="1:16">
      <c r="A15" s="89" t="s">
        <v>30</v>
      </c>
      <c r="B15" s="49">
        <v>5400</v>
      </c>
      <c r="C15" s="63">
        <v>5400</v>
      </c>
      <c r="D15" s="63">
        <v>6722</v>
      </c>
      <c r="E15" s="63">
        <v>6600</v>
      </c>
      <c r="F15" s="63">
        <v>6600</v>
      </c>
      <c r="G15" s="52">
        <f t="shared" si="5"/>
        <v>0</v>
      </c>
      <c r="H15" s="56">
        <f t="shared" si="6"/>
        <v>1</v>
      </c>
      <c r="I15" s="89" t="s">
        <v>31</v>
      </c>
      <c r="J15" s="49">
        <v>149787</v>
      </c>
      <c r="K15" s="63">
        <v>149787</v>
      </c>
      <c r="L15" s="63">
        <v>149727</v>
      </c>
      <c r="M15" s="63">
        <v>175346</v>
      </c>
      <c r="N15" s="63">
        <v>175346</v>
      </c>
      <c r="O15" s="52">
        <f t="shared" si="3"/>
        <v>0</v>
      </c>
      <c r="P15" s="56">
        <f t="shared" si="4"/>
        <v>1</v>
      </c>
    </row>
    <row r="16" ht="18" customHeight="1" spans="1:16">
      <c r="A16" s="89" t="s">
        <v>32</v>
      </c>
      <c r="B16" s="49">
        <v>33250</v>
      </c>
      <c r="C16" s="63">
        <v>33250</v>
      </c>
      <c r="D16" s="63">
        <v>21291</v>
      </c>
      <c r="E16" s="63">
        <v>25200</v>
      </c>
      <c r="F16" s="63">
        <v>25200</v>
      </c>
      <c r="G16" s="52">
        <f t="shared" si="5"/>
        <v>0</v>
      </c>
      <c r="H16" s="56">
        <f t="shared" si="6"/>
        <v>1</v>
      </c>
      <c r="I16" s="89" t="s">
        <v>33</v>
      </c>
      <c r="J16" s="49">
        <v>151884</v>
      </c>
      <c r="K16" s="63">
        <v>151884</v>
      </c>
      <c r="L16" s="63">
        <v>180859</v>
      </c>
      <c r="M16" s="63">
        <v>236216</v>
      </c>
      <c r="N16" s="63">
        <v>236216</v>
      </c>
      <c r="O16" s="52">
        <f t="shared" si="3"/>
        <v>0</v>
      </c>
      <c r="P16" s="56">
        <f t="shared" si="4"/>
        <v>1</v>
      </c>
    </row>
    <row r="17" ht="18" customHeight="1" spans="1:16">
      <c r="A17" s="89" t="s">
        <v>34</v>
      </c>
      <c r="B17" s="49">
        <v>244839</v>
      </c>
      <c r="C17" s="63">
        <v>244839</v>
      </c>
      <c r="D17" s="63">
        <v>208565</v>
      </c>
      <c r="E17" s="63">
        <v>269500</v>
      </c>
      <c r="F17" s="63">
        <v>269500</v>
      </c>
      <c r="G17" s="52">
        <f t="shared" si="5"/>
        <v>0</v>
      </c>
      <c r="H17" s="56">
        <f t="shared" si="6"/>
        <v>1</v>
      </c>
      <c r="I17" s="89" t="s">
        <v>35</v>
      </c>
      <c r="J17" s="49">
        <v>23493</v>
      </c>
      <c r="K17" s="63">
        <v>23493</v>
      </c>
      <c r="L17" s="63">
        <v>16431</v>
      </c>
      <c r="M17" s="63">
        <v>17731</v>
      </c>
      <c r="N17" s="63">
        <v>17731</v>
      </c>
      <c r="O17" s="52">
        <f t="shared" si="3"/>
        <v>0</v>
      </c>
      <c r="P17" s="56">
        <f t="shared" si="4"/>
        <v>1</v>
      </c>
    </row>
    <row r="18" ht="18" customHeight="1" spans="1:16">
      <c r="A18" s="89" t="s">
        <v>36</v>
      </c>
      <c r="B18" s="49">
        <v>2850</v>
      </c>
      <c r="C18" s="63">
        <v>2850</v>
      </c>
      <c r="D18" s="63">
        <v>3178</v>
      </c>
      <c r="E18" s="63">
        <v>4500</v>
      </c>
      <c r="F18" s="63">
        <v>4500</v>
      </c>
      <c r="G18" s="52">
        <f t="shared" si="5"/>
        <v>0</v>
      </c>
      <c r="H18" s="56">
        <f t="shared" si="6"/>
        <v>1</v>
      </c>
      <c r="I18" s="89" t="s">
        <v>37</v>
      </c>
      <c r="J18" s="49">
        <v>67245</v>
      </c>
      <c r="K18" s="63">
        <f>67245+8000</f>
        <v>75245</v>
      </c>
      <c r="L18" s="63">
        <v>72243</v>
      </c>
      <c r="M18" s="63">
        <f>77150+3000</f>
        <v>80150</v>
      </c>
      <c r="N18" s="63">
        <f>77150+3000</f>
        <v>80150</v>
      </c>
      <c r="O18" s="52">
        <f t="shared" si="3"/>
        <v>0</v>
      </c>
      <c r="P18" s="56">
        <f t="shared" si="4"/>
        <v>1</v>
      </c>
    </row>
    <row r="19" ht="18" customHeight="1" spans="1:16">
      <c r="A19" s="89" t="s">
        <v>38</v>
      </c>
      <c r="B19" s="49">
        <v>3500</v>
      </c>
      <c r="C19" s="63">
        <v>3500</v>
      </c>
      <c r="D19" s="63">
        <v>3989</v>
      </c>
      <c r="E19" s="63">
        <v>5600</v>
      </c>
      <c r="F19" s="63">
        <v>5600</v>
      </c>
      <c r="G19" s="52">
        <f t="shared" si="5"/>
        <v>0</v>
      </c>
      <c r="H19" s="56">
        <f t="shared" si="6"/>
        <v>1</v>
      </c>
      <c r="I19" s="89" t="s">
        <v>39</v>
      </c>
      <c r="J19" s="49">
        <v>121000</v>
      </c>
      <c r="K19" s="63">
        <v>121000</v>
      </c>
      <c r="L19" s="63">
        <v>132347</v>
      </c>
      <c r="M19" s="63">
        <f>139262+2800</f>
        <v>142062</v>
      </c>
      <c r="N19" s="63">
        <f>139262+2800</f>
        <v>142062</v>
      </c>
      <c r="O19" s="52">
        <f t="shared" si="3"/>
        <v>0</v>
      </c>
      <c r="P19" s="56">
        <f t="shared" si="4"/>
        <v>1</v>
      </c>
    </row>
    <row r="20" ht="18" customHeight="1" spans="1:16">
      <c r="A20" s="89" t="s">
        <v>40</v>
      </c>
      <c r="B20" s="49">
        <v>130000</v>
      </c>
      <c r="C20" s="63">
        <v>130000</v>
      </c>
      <c r="D20" s="63">
        <v>136441</v>
      </c>
      <c r="E20" s="63">
        <v>140000</v>
      </c>
      <c r="F20" s="63">
        <v>140000</v>
      </c>
      <c r="G20" s="52">
        <f t="shared" si="5"/>
        <v>0</v>
      </c>
      <c r="H20" s="56">
        <f t="shared" si="6"/>
        <v>1</v>
      </c>
      <c r="I20" s="89" t="s">
        <v>41</v>
      </c>
      <c r="J20" s="49">
        <v>136280</v>
      </c>
      <c r="K20" s="63">
        <f>136280+12000</f>
        <v>148280</v>
      </c>
      <c r="L20" s="63">
        <v>176111</v>
      </c>
      <c r="M20" s="63">
        <f>176106+21000</f>
        <v>197106</v>
      </c>
      <c r="N20" s="63">
        <f>176106+21000</f>
        <v>197106</v>
      </c>
      <c r="O20" s="52">
        <f t="shared" si="3"/>
        <v>0</v>
      </c>
      <c r="P20" s="56">
        <f t="shared" si="4"/>
        <v>1</v>
      </c>
    </row>
    <row r="21" ht="18" customHeight="1" spans="1:16">
      <c r="A21" s="89" t="s">
        <v>42</v>
      </c>
      <c r="B21" s="49">
        <v>188</v>
      </c>
      <c r="C21" s="63">
        <v>188</v>
      </c>
      <c r="D21" s="63">
        <v>87</v>
      </c>
      <c r="E21" s="63">
        <v>105</v>
      </c>
      <c r="F21" s="63">
        <v>105</v>
      </c>
      <c r="G21" s="52">
        <f t="shared" si="5"/>
        <v>0</v>
      </c>
      <c r="H21" s="56">
        <f t="shared" si="6"/>
        <v>1</v>
      </c>
      <c r="I21" s="89" t="s">
        <v>43</v>
      </c>
      <c r="J21" s="49">
        <v>3824</v>
      </c>
      <c r="K21" s="63">
        <v>3824</v>
      </c>
      <c r="L21" s="63">
        <v>4490</v>
      </c>
      <c r="M21" s="63">
        <v>4403</v>
      </c>
      <c r="N21" s="63">
        <v>4403</v>
      </c>
      <c r="O21" s="52">
        <f t="shared" si="3"/>
        <v>0</v>
      </c>
      <c r="P21" s="56">
        <f t="shared" si="4"/>
        <v>1</v>
      </c>
    </row>
    <row r="22" ht="18" customHeight="1" spans="1:16">
      <c r="A22" s="89" t="s">
        <v>44</v>
      </c>
      <c r="B22" s="49"/>
      <c r="C22" s="49"/>
      <c r="D22" s="63">
        <v>241</v>
      </c>
      <c r="E22" s="63"/>
      <c r="F22" s="63"/>
      <c r="G22" s="52">
        <f t="shared" si="5"/>
        <v>0</v>
      </c>
      <c r="H22" s="56"/>
      <c r="I22" s="89" t="s">
        <v>45</v>
      </c>
      <c r="J22" s="49">
        <v>5779</v>
      </c>
      <c r="K22" s="63">
        <v>5779</v>
      </c>
      <c r="L22" s="63">
        <v>16704</v>
      </c>
      <c r="M22" s="63">
        <v>8150</v>
      </c>
      <c r="N22" s="63">
        <v>8150</v>
      </c>
      <c r="O22" s="52">
        <f t="shared" si="3"/>
        <v>0</v>
      </c>
      <c r="P22" s="56">
        <f t="shared" si="4"/>
        <v>1</v>
      </c>
    </row>
    <row r="23" ht="18" customHeight="1" spans="1:16">
      <c r="A23" s="88" t="s">
        <v>46</v>
      </c>
      <c r="B23" s="49">
        <f t="shared" ref="B23:F23" si="7">SUM(B24:B31)</f>
        <v>345554</v>
      </c>
      <c r="C23" s="49">
        <f t="shared" si="7"/>
        <v>345554</v>
      </c>
      <c r="D23" s="49">
        <f t="shared" si="7"/>
        <v>405790</v>
      </c>
      <c r="E23" s="49">
        <f t="shared" si="7"/>
        <v>375952</v>
      </c>
      <c r="F23" s="49">
        <f t="shared" si="7"/>
        <v>375952</v>
      </c>
      <c r="G23" s="52">
        <f t="shared" si="5"/>
        <v>0</v>
      </c>
      <c r="H23" s="56">
        <f t="shared" si="6"/>
        <v>1</v>
      </c>
      <c r="I23" s="89" t="s">
        <v>47</v>
      </c>
      <c r="J23" s="49">
        <v>5851</v>
      </c>
      <c r="K23" s="63">
        <v>5851</v>
      </c>
      <c r="L23" s="63">
        <v>5326</v>
      </c>
      <c r="M23" s="63">
        <v>17319</v>
      </c>
      <c r="N23" s="63">
        <v>17319</v>
      </c>
      <c r="O23" s="52">
        <f t="shared" si="3"/>
        <v>0</v>
      </c>
      <c r="P23" s="56">
        <f t="shared" si="4"/>
        <v>1</v>
      </c>
    </row>
    <row r="24" ht="18" customHeight="1" spans="1:16">
      <c r="A24" s="89" t="s">
        <v>48</v>
      </c>
      <c r="B24" s="49">
        <v>221300</v>
      </c>
      <c r="C24" s="63">
        <v>221300</v>
      </c>
      <c r="D24" s="63">
        <v>316296</v>
      </c>
      <c r="E24" s="90">
        <v>270952</v>
      </c>
      <c r="F24" s="90">
        <v>270952</v>
      </c>
      <c r="G24" s="52">
        <f t="shared" si="5"/>
        <v>0</v>
      </c>
      <c r="H24" s="56">
        <f t="shared" si="6"/>
        <v>1</v>
      </c>
      <c r="I24" s="89" t="s">
        <v>49</v>
      </c>
      <c r="J24" s="49">
        <v>22090</v>
      </c>
      <c r="K24" s="63">
        <v>22090</v>
      </c>
      <c r="L24" s="63">
        <v>30853</v>
      </c>
      <c r="M24" s="63">
        <v>127469</v>
      </c>
      <c r="N24" s="63">
        <v>127469</v>
      </c>
      <c r="O24" s="52">
        <f t="shared" si="3"/>
        <v>0</v>
      </c>
      <c r="P24" s="56">
        <f t="shared" si="4"/>
        <v>1</v>
      </c>
    </row>
    <row r="25" ht="18" customHeight="1" spans="1:16">
      <c r="A25" s="89" t="s">
        <v>50</v>
      </c>
      <c r="B25" s="49">
        <v>12000</v>
      </c>
      <c r="C25" s="63">
        <v>12000</v>
      </c>
      <c r="D25" s="63">
        <v>27437</v>
      </c>
      <c r="E25" s="90">
        <v>28000</v>
      </c>
      <c r="F25" s="90">
        <v>28000</v>
      </c>
      <c r="G25" s="52">
        <f t="shared" si="5"/>
        <v>0</v>
      </c>
      <c r="H25" s="56">
        <f t="shared" si="6"/>
        <v>1</v>
      </c>
      <c r="I25" s="89" t="s">
        <v>51</v>
      </c>
      <c r="J25" s="49">
        <v>32550</v>
      </c>
      <c r="K25" s="63">
        <v>32550</v>
      </c>
      <c r="L25" s="63">
        <v>26350</v>
      </c>
      <c r="M25" s="63">
        <v>28744</v>
      </c>
      <c r="N25" s="63">
        <v>28744</v>
      </c>
      <c r="O25" s="52">
        <f t="shared" si="3"/>
        <v>0</v>
      </c>
      <c r="P25" s="56">
        <f t="shared" si="4"/>
        <v>1</v>
      </c>
    </row>
    <row r="26" ht="18" customHeight="1" spans="1:16">
      <c r="A26" s="89" t="s">
        <v>52</v>
      </c>
      <c r="B26" s="49">
        <v>94954</v>
      </c>
      <c r="C26" s="63">
        <v>94954</v>
      </c>
      <c r="D26" s="63">
        <v>21553</v>
      </c>
      <c r="E26" s="90">
        <v>40000</v>
      </c>
      <c r="F26" s="90">
        <v>40000</v>
      </c>
      <c r="G26" s="52">
        <f t="shared" si="5"/>
        <v>0</v>
      </c>
      <c r="H26" s="56">
        <f t="shared" si="6"/>
        <v>1</v>
      </c>
      <c r="I26" s="89" t="s">
        <v>53</v>
      </c>
      <c r="J26" s="49">
        <v>3471</v>
      </c>
      <c r="K26" s="63">
        <v>3471</v>
      </c>
      <c r="L26" s="63">
        <v>885</v>
      </c>
      <c r="M26" s="63">
        <v>978</v>
      </c>
      <c r="N26" s="63">
        <v>978</v>
      </c>
      <c r="O26" s="52">
        <f t="shared" si="3"/>
        <v>0</v>
      </c>
      <c r="P26" s="56">
        <f t="shared" si="4"/>
        <v>1</v>
      </c>
    </row>
    <row r="27" ht="18" customHeight="1" spans="1:16">
      <c r="A27" s="89" t="s">
        <v>54</v>
      </c>
      <c r="B27" s="49"/>
      <c r="C27" s="63"/>
      <c r="D27" s="63">
        <v>-20</v>
      </c>
      <c r="E27" s="90"/>
      <c r="F27" s="90"/>
      <c r="G27" s="52">
        <f t="shared" si="5"/>
        <v>0</v>
      </c>
      <c r="H27" s="56"/>
      <c r="I27" s="89" t="s">
        <v>55</v>
      </c>
      <c r="J27" s="49">
        <v>14053</v>
      </c>
      <c r="K27" s="63">
        <v>14053</v>
      </c>
      <c r="L27" s="63">
        <v>14271</v>
      </c>
      <c r="M27" s="63">
        <v>13385</v>
      </c>
      <c r="N27" s="63">
        <v>13385</v>
      </c>
      <c r="O27" s="52">
        <f t="shared" si="3"/>
        <v>0</v>
      </c>
      <c r="P27" s="56">
        <f t="shared" si="4"/>
        <v>1</v>
      </c>
    </row>
    <row r="28" ht="18" customHeight="1" spans="1:16">
      <c r="A28" s="89" t="s">
        <v>56</v>
      </c>
      <c r="B28" s="49">
        <v>13400</v>
      </c>
      <c r="C28" s="63">
        <v>13400</v>
      </c>
      <c r="D28" s="63">
        <v>31321</v>
      </c>
      <c r="E28" s="90">
        <v>30000</v>
      </c>
      <c r="F28" s="90">
        <v>30000</v>
      </c>
      <c r="G28" s="52">
        <f t="shared" si="5"/>
        <v>0</v>
      </c>
      <c r="H28" s="56">
        <f t="shared" si="6"/>
        <v>1</v>
      </c>
      <c r="I28" s="89" t="s">
        <v>57</v>
      </c>
      <c r="J28" s="49">
        <v>74048</v>
      </c>
      <c r="K28" s="63">
        <v>74048</v>
      </c>
      <c r="L28" s="63">
        <v>145733</v>
      </c>
      <c r="M28" s="63">
        <f>89886-9708</f>
        <v>80178</v>
      </c>
      <c r="N28" s="63">
        <f>89886-9708</f>
        <v>80178</v>
      </c>
      <c r="O28" s="52">
        <f t="shared" si="3"/>
        <v>0</v>
      </c>
      <c r="P28" s="56">
        <f t="shared" si="4"/>
        <v>1</v>
      </c>
    </row>
    <row r="29" ht="18" customHeight="1" spans="1:16">
      <c r="A29" s="89" t="s">
        <v>58</v>
      </c>
      <c r="B29" s="49"/>
      <c r="C29" s="63"/>
      <c r="D29" s="63"/>
      <c r="E29" s="90"/>
      <c r="F29" s="90"/>
      <c r="G29" s="52">
        <f t="shared" si="5"/>
        <v>0</v>
      </c>
      <c r="H29" s="56"/>
      <c r="I29" s="89" t="s">
        <v>59</v>
      </c>
      <c r="J29" s="49">
        <v>47478</v>
      </c>
      <c r="K29" s="63">
        <v>47478</v>
      </c>
      <c r="L29" s="63">
        <v>50536</v>
      </c>
      <c r="M29" s="63">
        <v>53000</v>
      </c>
      <c r="N29" s="63">
        <v>53000</v>
      </c>
      <c r="O29" s="52">
        <f t="shared" si="3"/>
        <v>0</v>
      </c>
      <c r="P29" s="56">
        <f t="shared" si="4"/>
        <v>1</v>
      </c>
    </row>
    <row r="30" ht="18" customHeight="1" spans="1:16">
      <c r="A30" s="89" t="s">
        <v>60</v>
      </c>
      <c r="B30" s="49">
        <v>2400</v>
      </c>
      <c r="C30" s="63">
        <v>2400</v>
      </c>
      <c r="D30" s="63">
        <v>1433</v>
      </c>
      <c r="E30" s="90">
        <v>3000</v>
      </c>
      <c r="F30" s="90">
        <v>3000</v>
      </c>
      <c r="G30" s="52">
        <f t="shared" si="5"/>
        <v>0</v>
      </c>
      <c r="H30" s="56">
        <f t="shared" si="6"/>
        <v>1</v>
      </c>
      <c r="I30" s="89" t="s">
        <v>61</v>
      </c>
      <c r="J30" s="49">
        <v>55</v>
      </c>
      <c r="K30" s="63">
        <v>55</v>
      </c>
      <c r="L30" s="63">
        <v>109</v>
      </c>
      <c r="M30" s="63">
        <v>155</v>
      </c>
      <c r="N30" s="63">
        <v>155</v>
      </c>
      <c r="O30" s="52">
        <f t="shared" si="3"/>
        <v>0</v>
      </c>
      <c r="P30" s="56">
        <f t="shared" si="4"/>
        <v>1</v>
      </c>
    </row>
    <row r="31" ht="18" customHeight="1" spans="1:16">
      <c r="A31" s="89" t="s">
        <v>62</v>
      </c>
      <c r="B31" s="49">
        <v>1500</v>
      </c>
      <c r="C31" s="63">
        <v>1500</v>
      </c>
      <c r="D31" s="63">
        <v>7770</v>
      </c>
      <c r="E31" s="90">
        <v>4000</v>
      </c>
      <c r="F31" s="90">
        <v>4000</v>
      </c>
      <c r="G31" s="52">
        <f t="shared" si="5"/>
        <v>0</v>
      </c>
      <c r="H31" s="56">
        <f t="shared" si="6"/>
        <v>1</v>
      </c>
      <c r="I31" s="48"/>
      <c r="J31" s="49"/>
      <c r="K31" s="49"/>
      <c r="L31" s="49"/>
      <c r="M31" s="49"/>
      <c r="N31" s="49"/>
      <c r="O31" s="52"/>
      <c r="P31" s="56"/>
    </row>
    <row r="32" s="36" customFormat="1" ht="18" customHeight="1" spans="1:16">
      <c r="A32" s="91"/>
      <c r="B32" s="44"/>
      <c r="C32" s="44"/>
      <c r="D32" s="44"/>
      <c r="E32" s="44"/>
      <c r="F32" s="44"/>
      <c r="G32" s="45"/>
      <c r="H32" s="92"/>
      <c r="I32" s="87" t="s">
        <v>63</v>
      </c>
      <c r="J32" s="44">
        <v>16000</v>
      </c>
      <c r="K32" s="44">
        <v>16000</v>
      </c>
      <c r="L32" s="44"/>
      <c r="M32" s="44">
        <v>20000</v>
      </c>
      <c r="N32" s="44">
        <v>20000</v>
      </c>
      <c r="O32" s="45">
        <f t="shared" ref="O32:O35" si="8">N32-M32</f>
        <v>0</v>
      </c>
      <c r="P32" s="46">
        <f t="shared" ref="P32:P35" si="9">N32/M32</f>
        <v>1</v>
      </c>
    </row>
    <row r="33" ht="10" customHeight="1" spans="1:16">
      <c r="A33" s="89"/>
      <c r="B33" s="49"/>
      <c r="C33" s="49"/>
      <c r="D33" s="49"/>
      <c r="E33" s="49"/>
      <c r="F33" s="49"/>
      <c r="G33" s="52"/>
      <c r="H33" s="53"/>
      <c r="I33" s="91"/>
      <c r="J33" s="49"/>
      <c r="K33" s="49"/>
      <c r="L33" s="49"/>
      <c r="M33" s="49"/>
      <c r="N33" s="49"/>
      <c r="O33" s="49"/>
      <c r="P33" s="53"/>
    </row>
    <row r="34" s="36" customFormat="1" ht="18" customHeight="1" spans="1:16">
      <c r="A34" s="93" t="s">
        <v>64</v>
      </c>
      <c r="B34" s="44">
        <f t="shared" ref="B34:F34" si="10">SUM(B35:B38)</f>
        <v>81000</v>
      </c>
      <c r="C34" s="44">
        <f t="shared" si="10"/>
        <v>121000</v>
      </c>
      <c r="D34" s="44">
        <f t="shared" si="10"/>
        <v>121000</v>
      </c>
      <c r="E34" s="44">
        <f t="shared" si="10"/>
        <v>342279</v>
      </c>
      <c r="F34" s="44">
        <f t="shared" si="10"/>
        <v>367279</v>
      </c>
      <c r="G34" s="45">
        <f t="shared" ref="G34:G40" si="11">F34-E34</f>
        <v>25000</v>
      </c>
      <c r="H34" s="46">
        <f t="shared" ref="H34:H47" si="12">F34/E34</f>
        <v>1.07303983008014</v>
      </c>
      <c r="I34" s="93" t="s">
        <v>65</v>
      </c>
      <c r="J34" s="44">
        <f t="shared" ref="J34:N34" si="13">SUM(J35:J36)</f>
        <v>71400</v>
      </c>
      <c r="K34" s="44">
        <f t="shared" si="13"/>
        <v>71400</v>
      </c>
      <c r="L34" s="44">
        <f t="shared" si="13"/>
        <v>71400</v>
      </c>
      <c r="M34" s="44">
        <f t="shared" si="13"/>
        <v>233031</v>
      </c>
      <c r="N34" s="44">
        <f t="shared" si="13"/>
        <v>258031</v>
      </c>
      <c r="O34" s="45">
        <f t="shared" si="8"/>
        <v>25000</v>
      </c>
      <c r="P34" s="46">
        <f t="shared" si="9"/>
        <v>1.10728186378636</v>
      </c>
    </row>
    <row r="35" ht="18" customHeight="1" spans="1:16">
      <c r="A35" s="58" t="s">
        <v>66</v>
      </c>
      <c r="B35" s="49">
        <v>10000</v>
      </c>
      <c r="C35" s="63">
        <f>10000+24000+16000</f>
        <v>50000</v>
      </c>
      <c r="D35" s="63">
        <v>50000</v>
      </c>
      <c r="E35" s="90">
        <v>109499</v>
      </c>
      <c r="F35" s="90">
        <v>109499</v>
      </c>
      <c r="G35" s="52">
        <f t="shared" si="11"/>
        <v>0</v>
      </c>
      <c r="H35" s="56">
        <f t="shared" si="12"/>
        <v>1</v>
      </c>
      <c r="I35" s="60" t="s">
        <v>67</v>
      </c>
      <c r="J35" s="49">
        <v>71400</v>
      </c>
      <c r="K35" s="49">
        <v>71400</v>
      </c>
      <c r="L35" s="49">
        <v>71400</v>
      </c>
      <c r="M35" s="63">
        <v>233031</v>
      </c>
      <c r="N35" s="63">
        <f>233031+25000</f>
        <v>258031</v>
      </c>
      <c r="O35" s="52">
        <f t="shared" si="8"/>
        <v>25000</v>
      </c>
      <c r="P35" s="56">
        <f t="shared" si="9"/>
        <v>1.10728186378636</v>
      </c>
    </row>
    <row r="36" ht="18" customHeight="1" spans="1:16">
      <c r="A36" s="58" t="s">
        <v>68</v>
      </c>
      <c r="B36" s="49"/>
      <c r="C36" s="49"/>
      <c r="D36" s="49"/>
      <c r="E36" s="49"/>
      <c r="F36" s="49"/>
      <c r="G36" s="52"/>
      <c r="H36" s="53"/>
      <c r="I36" s="60" t="s">
        <v>69</v>
      </c>
      <c r="J36" s="49"/>
      <c r="K36" s="49"/>
      <c r="L36" s="49"/>
      <c r="M36" s="49"/>
      <c r="N36" s="49"/>
      <c r="O36" s="49"/>
      <c r="P36" s="53"/>
    </row>
    <row r="37" ht="18" customHeight="1" spans="1:16">
      <c r="A37" s="58" t="s">
        <v>70</v>
      </c>
      <c r="B37" s="49"/>
      <c r="C37" s="49"/>
      <c r="D37" s="49"/>
      <c r="E37" s="49"/>
      <c r="F37" s="49"/>
      <c r="G37" s="52"/>
      <c r="H37" s="53"/>
      <c r="I37" s="48"/>
      <c r="J37" s="49"/>
      <c r="K37" s="49"/>
      <c r="L37" s="49"/>
      <c r="M37" s="49"/>
      <c r="N37" s="49"/>
      <c r="O37" s="49"/>
      <c r="P37" s="53"/>
    </row>
    <row r="38" ht="18" customHeight="1" spans="1:16">
      <c r="A38" s="58" t="s">
        <v>71</v>
      </c>
      <c r="B38" s="49">
        <v>71000</v>
      </c>
      <c r="C38" s="94">
        <v>71000</v>
      </c>
      <c r="D38" s="94">
        <v>71000</v>
      </c>
      <c r="E38" s="63">
        <v>232780</v>
      </c>
      <c r="F38" s="63">
        <f>232780+25000</f>
        <v>257780</v>
      </c>
      <c r="G38" s="52">
        <f t="shared" si="11"/>
        <v>25000</v>
      </c>
      <c r="H38" s="56">
        <f t="shared" si="12"/>
        <v>1.10739754274422</v>
      </c>
      <c r="I38" s="48"/>
      <c r="J38" s="49"/>
      <c r="K38" s="49"/>
      <c r="L38" s="49"/>
      <c r="M38" s="49"/>
      <c r="N38" s="49"/>
      <c r="O38" s="49"/>
      <c r="P38" s="53"/>
    </row>
    <row r="39" s="36" customFormat="1" ht="17.3" customHeight="1" spans="1:16">
      <c r="A39" s="93" t="s">
        <v>72</v>
      </c>
      <c r="B39" s="44">
        <f t="shared" ref="B39:F39" si="14">B40+B65+B68+B69+B70</f>
        <v>950859</v>
      </c>
      <c r="C39" s="44">
        <f t="shared" si="14"/>
        <v>950859</v>
      </c>
      <c r="D39" s="44">
        <f t="shared" si="14"/>
        <v>1627743</v>
      </c>
      <c r="E39" s="44">
        <f t="shared" si="14"/>
        <v>1368143</v>
      </c>
      <c r="F39" s="44">
        <f t="shared" si="14"/>
        <v>1368143</v>
      </c>
      <c r="G39" s="45">
        <f t="shared" si="11"/>
        <v>0</v>
      </c>
      <c r="H39" s="46">
        <f t="shared" si="12"/>
        <v>1</v>
      </c>
      <c r="I39" s="93" t="s">
        <v>73</v>
      </c>
      <c r="J39" s="44">
        <f t="shared" ref="J39:N39" si="15">J40+J60+J63+J64+J65+J66+J69</f>
        <v>469703</v>
      </c>
      <c r="K39" s="44">
        <f t="shared" si="15"/>
        <v>485703</v>
      </c>
      <c r="L39" s="44">
        <f t="shared" si="15"/>
        <v>987882</v>
      </c>
      <c r="M39" s="44">
        <f t="shared" si="15"/>
        <v>525324</v>
      </c>
      <c r="N39" s="44">
        <f t="shared" si="15"/>
        <v>525324</v>
      </c>
      <c r="O39" s="45">
        <f t="shared" ref="O39:O42" si="16">N39-M39</f>
        <v>0</v>
      </c>
      <c r="P39" s="46">
        <f t="shared" ref="P39:P42" si="17">N39/M39</f>
        <v>1</v>
      </c>
    </row>
    <row r="40" ht="17.3" customHeight="1" spans="1:16">
      <c r="A40" s="60" t="s">
        <v>74</v>
      </c>
      <c r="B40" s="49">
        <f t="shared" ref="B40:F40" si="18">B41+B47+B64</f>
        <v>567791</v>
      </c>
      <c r="C40" s="49">
        <f t="shared" si="18"/>
        <v>567791</v>
      </c>
      <c r="D40" s="49">
        <f t="shared" si="18"/>
        <v>1283906</v>
      </c>
      <c r="E40" s="49">
        <f t="shared" si="18"/>
        <v>841389</v>
      </c>
      <c r="F40" s="49">
        <f t="shared" si="18"/>
        <v>841389</v>
      </c>
      <c r="G40" s="52">
        <f t="shared" ref="G40:G47" si="19">F40-E40</f>
        <v>0</v>
      </c>
      <c r="H40" s="56">
        <f t="shared" si="12"/>
        <v>1</v>
      </c>
      <c r="I40" s="60" t="s">
        <v>200</v>
      </c>
      <c r="J40" s="49">
        <f t="shared" ref="J40:N40" si="20">J41+J42+J59</f>
        <v>142688</v>
      </c>
      <c r="K40" s="49">
        <f t="shared" si="20"/>
        <v>142688</v>
      </c>
      <c r="L40" s="49">
        <f t="shared" si="20"/>
        <v>263840</v>
      </c>
      <c r="M40" s="49">
        <f t="shared" si="20"/>
        <v>139983</v>
      </c>
      <c r="N40" s="49">
        <f t="shared" si="20"/>
        <v>139983</v>
      </c>
      <c r="O40" s="52">
        <f t="shared" si="16"/>
        <v>0</v>
      </c>
      <c r="P40" s="56">
        <f t="shared" si="17"/>
        <v>1</v>
      </c>
    </row>
    <row r="41" ht="17.3" customHeight="1" spans="1:16">
      <c r="A41" s="60" t="s">
        <v>76</v>
      </c>
      <c r="B41" s="49">
        <f t="shared" ref="B41:F41" si="21">SUM(B42:B46)</f>
        <v>108507</v>
      </c>
      <c r="C41" s="49">
        <f t="shared" si="21"/>
        <v>108507</v>
      </c>
      <c r="D41" s="49">
        <f t="shared" si="21"/>
        <v>108507</v>
      </c>
      <c r="E41" s="49">
        <f t="shared" si="21"/>
        <v>108507</v>
      </c>
      <c r="F41" s="49">
        <f t="shared" si="21"/>
        <v>108507</v>
      </c>
      <c r="G41" s="52">
        <f t="shared" si="19"/>
        <v>0</v>
      </c>
      <c r="H41" s="56">
        <f t="shared" si="12"/>
        <v>1</v>
      </c>
      <c r="I41" s="97" t="s">
        <v>201</v>
      </c>
      <c r="J41" s="49"/>
      <c r="K41" s="49"/>
      <c r="L41" s="94"/>
      <c r="M41" s="49"/>
      <c r="N41" s="49"/>
      <c r="O41" s="49"/>
      <c r="P41" s="53"/>
    </row>
    <row r="42" ht="17.3" customHeight="1" spans="1:16">
      <c r="A42" s="60" t="s">
        <v>78</v>
      </c>
      <c r="B42" s="49">
        <v>4040</v>
      </c>
      <c r="C42" s="49">
        <v>4040</v>
      </c>
      <c r="D42" s="49">
        <v>4040</v>
      </c>
      <c r="E42" s="49">
        <v>4040</v>
      </c>
      <c r="F42" s="49">
        <v>4040</v>
      </c>
      <c r="G42" s="52">
        <f t="shared" si="19"/>
        <v>0</v>
      </c>
      <c r="H42" s="56">
        <f t="shared" si="12"/>
        <v>1</v>
      </c>
      <c r="I42" s="97" t="s">
        <v>202</v>
      </c>
      <c r="J42" s="49">
        <f t="shared" ref="J42:N42" si="22">SUM(J43:J58)</f>
        <v>111967</v>
      </c>
      <c r="K42" s="49">
        <f t="shared" si="22"/>
        <v>111967</v>
      </c>
      <c r="L42" s="49">
        <f t="shared" si="22"/>
        <v>181717</v>
      </c>
      <c r="M42" s="49">
        <f t="shared" si="22"/>
        <v>113365</v>
      </c>
      <c r="N42" s="49">
        <f t="shared" si="22"/>
        <v>113365</v>
      </c>
      <c r="O42" s="52">
        <f t="shared" si="16"/>
        <v>0</v>
      </c>
      <c r="P42" s="56">
        <f t="shared" si="17"/>
        <v>1</v>
      </c>
    </row>
    <row r="43" ht="17.3" customHeight="1" spans="1:16">
      <c r="A43" s="60" t="s">
        <v>80</v>
      </c>
      <c r="B43" s="49"/>
      <c r="C43" s="49"/>
      <c r="D43" s="49"/>
      <c r="E43" s="49"/>
      <c r="F43" s="49"/>
      <c r="G43" s="52"/>
      <c r="H43" s="56"/>
      <c r="I43" s="97" t="s">
        <v>203</v>
      </c>
      <c r="J43" s="49">
        <v>9174</v>
      </c>
      <c r="K43" s="94">
        <v>9174</v>
      </c>
      <c r="L43" s="94">
        <v>7500</v>
      </c>
      <c r="M43" s="49"/>
      <c r="N43" s="49"/>
      <c r="O43" s="52"/>
      <c r="P43" s="56"/>
    </row>
    <row r="44" ht="17.3" customHeight="1" spans="1:16">
      <c r="A44" s="60" t="s">
        <v>82</v>
      </c>
      <c r="B44" s="49">
        <v>2840</v>
      </c>
      <c r="C44" s="49">
        <v>2840</v>
      </c>
      <c r="D44" s="49">
        <v>2840</v>
      </c>
      <c r="E44" s="49">
        <v>2840</v>
      </c>
      <c r="F44" s="49">
        <v>2840</v>
      </c>
      <c r="G44" s="52">
        <f t="shared" si="19"/>
        <v>0</v>
      </c>
      <c r="H44" s="56">
        <f t="shared" si="12"/>
        <v>1</v>
      </c>
      <c r="I44" s="97" t="s">
        <v>204</v>
      </c>
      <c r="J44" s="49">
        <v>10612</v>
      </c>
      <c r="K44" s="94">
        <v>10612</v>
      </c>
      <c r="L44" s="94">
        <v>9685</v>
      </c>
      <c r="M44" s="49">
        <v>8076</v>
      </c>
      <c r="N44" s="49">
        <v>8076</v>
      </c>
      <c r="O44" s="52">
        <f t="shared" ref="O44:O50" si="23">N44-M44</f>
        <v>0</v>
      </c>
      <c r="P44" s="56">
        <f t="shared" ref="P44:P50" si="24">N44/M44</f>
        <v>1</v>
      </c>
    </row>
    <row r="45" ht="17.3" customHeight="1" spans="1:16">
      <c r="A45" s="60" t="s">
        <v>84</v>
      </c>
      <c r="B45" s="49">
        <v>875</v>
      </c>
      <c r="C45" s="49">
        <v>875</v>
      </c>
      <c r="D45" s="49">
        <v>875</v>
      </c>
      <c r="E45" s="49">
        <v>875</v>
      </c>
      <c r="F45" s="49">
        <v>875</v>
      </c>
      <c r="G45" s="52">
        <f t="shared" si="19"/>
        <v>0</v>
      </c>
      <c r="H45" s="56">
        <f t="shared" si="12"/>
        <v>1</v>
      </c>
      <c r="I45" s="97" t="s">
        <v>205</v>
      </c>
      <c r="J45" s="49">
        <v>1000</v>
      </c>
      <c r="K45" s="94">
        <v>1000</v>
      </c>
      <c r="L45" s="94">
        <v>48</v>
      </c>
      <c r="M45" s="49">
        <v>10118</v>
      </c>
      <c r="N45" s="49">
        <v>10118</v>
      </c>
      <c r="O45" s="52">
        <f t="shared" si="23"/>
        <v>0</v>
      </c>
      <c r="P45" s="56">
        <f t="shared" si="24"/>
        <v>1</v>
      </c>
    </row>
    <row r="46" ht="17.3" customHeight="1" spans="1:16">
      <c r="A46" s="60" t="s">
        <v>86</v>
      </c>
      <c r="B46" s="49">
        <v>100752</v>
      </c>
      <c r="C46" s="49">
        <v>100752</v>
      </c>
      <c r="D46" s="49">
        <v>100752</v>
      </c>
      <c r="E46" s="49">
        <v>100752</v>
      </c>
      <c r="F46" s="49">
        <v>100752</v>
      </c>
      <c r="G46" s="52">
        <f t="shared" si="19"/>
        <v>0</v>
      </c>
      <c r="H46" s="56">
        <f t="shared" si="12"/>
        <v>1</v>
      </c>
      <c r="I46" s="97" t="s">
        <v>206</v>
      </c>
      <c r="J46" s="49"/>
      <c r="K46" s="94"/>
      <c r="L46" s="94"/>
      <c r="M46" s="49"/>
      <c r="N46" s="49"/>
      <c r="O46" s="49"/>
      <c r="P46" s="53"/>
    </row>
    <row r="47" ht="17.3" customHeight="1" spans="1:16">
      <c r="A47" s="60" t="s">
        <v>88</v>
      </c>
      <c r="B47" s="49">
        <f t="shared" ref="B47:F47" si="25">SUM(B48:B63)</f>
        <v>366522</v>
      </c>
      <c r="C47" s="49">
        <f t="shared" si="25"/>
        <v>366522</v>
      </c>
      <c r="D47" s="49">
        <f t="shared" si="25"/>
        <v>712025</v>
      </c>
      <c r="E47" s="49">
        <f t="shared" si="25"/>
        <v>603907</v>
      </c>
      <c r="F47" s="49">
        <f t="shared" si="25"/>
        <v>603907</v>
      </c>
      <c r="G47" s="52">
        <f t="shared" si="19"/>
        <v>0</v>
      </c>
      <c r="H47" s="56">
        <f t="shared" si="12"/>
        <v>1</v>
      </c>
      <c r="I47" s="97" t="s">
        <v>207</v>
      </c>
      <c r="J47" s="49"/>
      <c r="K47" s="94"/>
      <c r="L47" s="94"/>
      <c r="M47" s="49"/>
      <c r="N47" s="49"/>
      <c r="O47" s="49"/>
      <c r="P47" s="53"/>
    </row>
    <row r="48" ht="17.3" customHeight="1" spans="1:16">
      <c r="A48" s="60" t="s">
        <v>89</v>
      </c>
      <c r="B48" s="49">
        <v>41736</v>
      </c>
      <c r="C48" s="95">
        <v>41736</v>
      </c>
      <c r="D48" s="95">
        <v>58856</v>
      </c>
      <c r="E48" s="95">
        <v>41010</v>
      </c>
      <c r="F48" s="95">
        <v>41010</v>
      </c>
      <c r="G48" s="52">
        <f t="shared" ref="G48:G71" si="26">F48-E48</f>
        <v>0</v>
      </c>
      <c r="H48" s="56">
        <f t="shared" ref="H48:H71" si="27">F48/E48</f>
        <v>1</v>
      </c>
      <c r="I48" s="97" t="s">
        <v>208</v>
      </c>
      <c r="J48" s="49"/>
      <c r="K48" s="94"/>
      <c r="L48" s="94"/>
      <c r="M48" s="49"/>
      <c r="N48" s="49"/>
      <c r="O48" s="49"/>
      <c r="P48" s="53"/>
    </row>
    <row r="49" ht="17.3" customHeight="1" spans="1:16">
      <c r="A49" s="60" t="s">
        <v>90</v>
      </c>
      <c r="B49" s="49">
        <v>10612</v>
      </c>
      <c r="C49" s="95">
        <v>10612</v>
      </c>
      <c r="D49" s="95">
        <v>10249</v>
      </c>
      <c r="E49" s="95">
        <v>8076</v>
      </c>
      <c r="F49" s="95">
        <v>8076</v>
      </c>
      <c r="G49" s="52">
        <f t="shared" si="26"/>
        <v>0</v>
      </c>
      <c r="H49" s="56">
        <f t="shared" si="27"/>
        <v>1</v>
      </c>
      <c r="I49" s="97" t="s">
        <v>209</v>
      </c>
      <c r="J49" s="49">
        <v>60000</v>
      </c>
      <c r="K49" s="94">
        <v>60000</v>
      </c>
      <c r="L49" s="94">
        <v>60000</v>
      </c>
      <c r="M49" s="49">
        <v>50000</v>
      </c>
      <c r="N49" s="49">
        <v>50000</v>
      </c>
      <c r="O49" s="52">
        <f t="shared" si="23"/>
        <v>0</v>
      </c>
      <c r="P49" s="56">
        <f t="shared" si="24"/>
        <v>1</v>
      </c>
    </row>
    <row r="50" ht="17.3" customHeight="1" spans="1:16">
      <c r="A50" s="60" t="s">
        <v>91</v>
      </c>
      <c r="B50" s="49">
        <v>25195</v>
      </c>
      <c r="C50" s="95">
        <v>25195</v>
      </c>
      <c r="D50" s="95">
        <v>270641</v>
      </c>
      <c r="E50" s="95">
        <v>210250</v>
      </c>
      <c r="F50" s="95">
        <v>210250</v>
      </c>
      <c r="G50" s="52">
        <f t="shared" si="26"/>
        <v>0</v>
      </c>
      <c r="H50" s="56">
        <f t="shared" si="27"/>
        <v>1</v>
      </c>
      <c r="I50" s="97" t="s">
        <v>210</v>
      </c>
      <c r="J50" s="49"/>
      <c r="K50" s="94"/>
      <c r="L50" s="94"/>
      <c r="M50" s="49">
        <v>411</v>
      </c>
      <c r="N50" s="49">
        <v>411</v>
      </c>
      <c r="O50" s="52">
        <f t="shared" si="23"/>
        <v>0</v>
      </c>
      <c r="P50" s="56">
        <f t="shared" si="24"/>
        <v>1</v>
      </c>
    </row>
    <row r="51" ht="17.3" customHeight="1" spans="1:16">
      <c r="A51" s="60" t="s">
        <v>92</v>
      </c>
      <c r="B51" s="49"/>
      <c r="C51" s="95"/>
      <c r="D51" s="95"/>
      <c r="E51" s="95"/>
      <c r="F51" s="95"/>
      <c r="G51" s="52"/>
      <c r="H51" s="56"/>
      <c r="I51" s="97" t="s">
        <v>211</v>
      </c>
      <c r="J51" s="49"/>
      <c r="K51" s="94"/>
      <c r="L51" s="94">
        <v>17</v>
      </c>
      <c r="M51" s="49"/>
      <c r="N51" s="49"/>
      <c r="O51" s="49"/>
      <c r="P51" s="53"/>
    </row>
    <row r="52" ht="17.3" customHeight="1" spans="1:16">
      <c r="A52" s="60" t="s">
        <v>93</v>
      </c>
      <c r="B52" s="49">
        <v>2700</v>
      </c>
      <c r="C52" s="95">
        <v>2700</v>
      </c>
      <c r="D52" s="95">
        <v>3000</v>
      </c>
      <c r="E52" s="95">
        <v>2700</v>
      </c>
      <c r="F52" s="95">
        <v>2700</v>
      </c>
      <c r="G52" s="52">
        <f t="shared" si="26"/>
        <v>0</v>
      </c>
      <c r="H52" s="56">
        <f t="shared" si="27"/>
        <v>1</v>
      </c>
      <c r="I52" s="97" t="s">
        <v>212</v>
      </c>
      <c r="J52" s="49"/>
      <c r="K52" s="94"/>
      <c r="L52" s="94"/>
      <c r="M52" s="49"/>
      <c r="N52" s="49"/>
      <c r="O52" s="49"/>
      <c r="P52" s="53"/>
    </row>
    <row r="53" ht="17.3" customHeight="1" spans="1:16">
      <c r="A53" s="60" t="s">
        <v>94</v>
      </c>
      <c r="B53" s="49">
        <v>11816</v>
      </c>
      <c r="C53" s="95">
        <v>11816</v>
      </c>
      <c r="D53" s="95">
        <v>14390</v>
      </c>
      <c r="E53" s="95">
        <v>12344</v>
      </c>
      <c r="F53" s="95">
        <v>12344</v>
      </c>
      <c r="G53" s="52">
        <f t="shared" si="26"/>
        <v>0</v>
      </c>
      <c r="H53" s="56">
        <f t="shared" si="27"/>
        <v>1</v>
      </c>
      <c r="I53" s="97" t="s">
        <v>213</v>
      </c>
      <c r="J53" s="49">
        <v>9346</v>
      </c>
      <c r="K53" s="94">
        <v>9346</v>
      </c>
      <c r="L53" s="94">
        <v>10448</v>
      </c>
      <c r="M53" s="49">
        <v>9113</v>
      </c>
      <c r="N53" s="49">
        <v>9113</v>
      </c>
      <c r="O53" s="52">
        <f>N53-M53</f>
        <v>0</v>
      </c>
      <c r="P53" s="56">
        <f>N53/M53</f>
        <v>1</v>
      </c>
    </row>
    <row r="54" ht="17.3" customHeight="1" spans="1:16">
      <c r="A54" s="60" t="s">
        <v>95</v>
      </c>
      <c r="B54" s="49">
        <v>144680</v>
      </c>
      <c r="C54" s="95">
        <v>144680</v>
      </c>
      <c r="D54" s="95">
        <v>144680</v>
      </c>
      <c r="E54" s="95">
        <v>144680</v>
      </c>
      <c r="F54" s="95">
        <v>144680</v>
      </c>
      <c r="G54" s="52">
        <f t="shared" si="26"/>
        <v>0</v>
      </c>
      <c r="H54" s="56">
        <f t="shared" si="27"/>
        <v>1</v>
      </c>
      <c r="I54" s="97" t="s">
        <v>214</v>
      </c>
      <c r="J54" s="49">
        <v>21835</v>
      </c>
      <c r="K54" s="94">
        <v>21835</v>
      </c>
      <c r="L54" s="94">
        <v>83028</v>
      </c>
      <c r="M54" s="49">
        <v>35647</v>
      </c>
      <c r="N54" s="49">
        <v>35647</v>
      </c>
      <c r="O54" s="52">
        <f>N54-M54</f>
        <v>0</v>
      </c>
      <c r="P54" s="56">
        <f>N54/M54</f>
        <v>1</v>
      </c>
    </row>
    <row r="55" ht="17.3" customHeight="1" spans="1:16">
      <c r="A55" s="60" t="s">
        <v>96</v>
      </c>
      <c r="B55" s="49">
        <v>378</v>
      </c>
      <c r="C55" s="95">
        <v>378</v>
      </c>
      <c r="D55" s="95">
        <v>497</v>
      </c>
      <c r="E55" s="95">
        <v>411</v>
      </c>
      <c r="F55" s="95">
        <v>411</v>
      </c>
      <c r="G55" s="52">
        <f t="shared" si="26"/>
        <v>0</v>
      </c>
      <c r="H55" s="56">
        <f t="shared" si="27"/>
        <v>1</v>
      </c>
      <c r="I55" s="97" t="s">
        <v>215</v>
      </c>
      <c r="J55" s="49"/>
      <c r="K55" s="94"/>
      <c r="L55" s="94">
        <v>7124</v>
      </c>
      <c r="M55" s="49"/>
      <c r="N55" s="49"/>
      <c r="O55" s="49"/>
      <c r="P55" s="53"/>
    </row>
    <row r="56" ht="17.3" customHeight="1" spans="1:16">
      <c r="A56" s="60" t="s">
        <v>97</v>
      </c>
      <c r="B56" s="49"/>
      <c r="C56" s="95"/>
      <c r="D56" s="95"/>
      <c r="E56" s="95"/>
      <c r="F56" s="95"/>
      <c r="G56" s="52"/>
      <c r="H56" s="56"/>
      <c r="I56" s="97" t="s">
        <v>216</v>
      </c>
      <c r="J56" s="49"/>
      <c r="K56" s="94"/>
      <c r="L56" s="94">
        <v>3826</v>
      </c>
      <c r="M56" s="49"/>
      <c r="N56" s="49"/>
      <c r="O56" s="49"/>
      <c r="P56" s="53"/>
    </row>
    <row r="57" ht="17.3" customHeight="1" spans="1:16">
      <c r="A57" s="60" t="s">
        <v>98</v>
      </c>
      <c r="B57" s="49">
        <v>2914</v>
      </c>
      <c r="C57" s="95">
        <v>2914</v>
      </c>
      <c r="D57" s="95">
        <v>3818</v>
      </c>
      <c r="E57" s="95">
        <v>3129</v>
      </c>
      <c r="F57" s="95">
        <v>3129</v>
      </c>
      <c r="G57" s="52">
        <f t="shared" si="26"/>
        <v>0</v>
      </c>
      <c r="H57" s="56">
        <f t="shared" si="27"/>
        <v>1</v>
      </c>
      <c r="I57" s="97" t="s">
        <v>217</v>
      </c>
      <c r="J57" s="49"/>
      <c r="K57" s="94"/>
      <c r="L57" s="94"/>
      <c r="M57" s="49"/>
      <c r="N57" s="49"/>
      <c r="O57" s="49"/>
      <c r="P57" s="53"/>
    </row>
    <row r="58" ht="17.3" customHeight="1" spans="1:16">
      <c r="A58" s="60" t="s">
        <v>99</v>
      </c>
      <c r="B58" s="49">
        <v>9383</v>
      </c>
      <c r="C58" s="95">
        <v>9383</v>
      </c>
      <c r="D58" s="95">
        <v>10941</v>
      </c>
      <c r="E58" s="95">
        <v>8935</v>
      </c>
      <c r="F58" s="95">
        <v>8935</v>
      </c>
      <c r="G58" s="52">
        <f t="shared" si="26"/>
        <v>0</v>
      </c>
      <c r="H58" s="56">
        <f t="shared" si="27"/>
        <v>1</v>
      </c>
      <c r="I58" s="97" t="s">
        <v>218</v>
      </c>
      <c r="J58" s="49"/>
      <c r="K58" s="94"/>
      <c r="L58" s="94">
        <v>41</v>
      </c>
      <c r="M58" s="49"/>
      <c r="N58" s="49"/>
      <c r="O58" s="49"/>
      <c r="P58" s="53"/>
    </row>
    <row r="59" ht="17.3" customHeight="1" spans="1:16">
      <c r="A59" s="60" t="s">
        <v>100</v>
      </c>
      <c r="B59" s="49">
        <v>99765</v>
      </c>
      <c r="C59" s="95">
        <v>99765</v>
      </c>
      <c r="D59" s="95">
        <v>174319</v>
      </c>
      <c r="E59" s="95">
        <v>172372</v>
      </c>
      <c r="F59" s="95">
        <v>172372</v>
      </c>
      <c r="G59" s="52">
        <f t="shared" si="26"/>
        <v>0</v>
      </c>
      <c r="H59" s="56">
        <f t="shared" si="27"/>
        <v>1</v>
      </c>
      <c r="I59" s="97" t="s">
        <v>219</v>
      </c>
      <c r="J59" s="49">
        <v>30721</v>
      </c>
      <c r="K59" s="94">
        <v>30721</v>
      </c>
      <c r="L59" s="94">
        <v>82123</v>
      </c>
      <c r="M59" s="98">
        <v>26618</v>
      </c>
      <c r="N59" s="98">
        <v>26618</v>
      </c>
      <c r="O59" s="52">
        <f t="shared" ref="O59:O62" si="28">N59-M59</f>
        <v>0</v>
      </c>
      <c r="P59" s="56">
        <f t="shared" ref="P59:P62" si="29">N59/M59</f>
        <v>1</v>
      </c>
    </row>
    <row r="60" ht="17.3" customHeight="1" spans="1:16">
      <c r="A60" s="60" t="s">
        <v>101</v>
      </c>
      <c r="B60" s="49">
        <v>9813</v>
      </c>
      <c r="C60" s="95">
        <v>9813</v>
      </c>
      <c r="D60" s="95">
        <v>13104</v>
      </c>
      <c r="E60" s="95"/>
      <c r="F60" s="95"/>
      <c r="G60" s="52">
        <f t="shared" si="26"/>
        <v>0</v>
      </c>
      <c r="H60" s="56"/>
      <c r="I60" s="60" t="s">
        <v>220</v>
      </c>
      <c r="J60" s="49">
        <f t="shared" ref="J60:N60" si="30">SUM(J61:J62)</f>
        <v>325050</v>
      </c>
      <c r="K60" s="49">
        <f t="shared" si="30"/>
        <v>325050</v>
      </c>
      <c r="L60" s="49">
        <f t="shared" si="30"/>
        <v>347082</v>
      </c>
      <c r="M60" s="49">
        <f t="shared" si="30"/>
        <v>325050</v>
      </c>
      <c r="N60" s="49">
        <f t="shared" si="30"/>
        <v>325050</v>
      </c>
      <c r="O60" s="52">
        <f t="shared" si="28"/>
        <v>0</v>
      </c>
      <c r="P60" s="56">
        <f t="shared" si="29"/>
        <v>1</v>
      </c>
    </row>
    <row r="61" ht="17.3" customHeight="1" spans="1:16">
      <c r="A61" s="60" t="s">
        <v>102</v>
      </c>
      <c r="B61" s="49">
        <v>7530</v>
      </c>
      <c r="C61" s="95">
        <v>7530</v>
      </c>
      <c r="D61" s="95">
        <v>7530</v>
      </c>
      <c r="E61" s="95"/>
      <c r="F61" s="95"/>
      <c r="G61" s="52">
        <f t="shared" si="26"/>
        <v>0</v>
      </c>
      <c r="H61" s="56"/>
      <c r="I61" s="48" t="s">
        <v>221</v>
      </c>
      <c r="J61" s="49">
        <v>292509</v>
      </c>
      <c r="K61" s="94">
        <v>292509</v>
      </c>
      <c r="L61" s="99">
        <v>292509</v>
      </c>
      <c r="M61" s="94">
        <v>292509</v>
      </c>
      <c r="N61" s="94">
        <v>292509</v>
      </c>
      <c r="O61" s="52">
        <f t="shared" si="28"/>
        <v>0</v>
      </c>
      <c r="P61" s="56">
        <f t="shared" si="29"/>
        <v>1</v>
      </c>
    </row>
    <row r="62" ht="17.3" customHeight="1" spans="1:16">
      <c r="A62" s="60" t="s">
        <v>103</v>
      </c>
      <c r="B62" s="49"/>
      <c r="C62" s="95"/>
      <c r="D62" s="95"/>
      <c r="E62" s="95"/>
      <c r="F62" s="95"/>
      <c r="G62" s="52"/>
      <c r="H62" s="56"/>
      <c r="I62" s="48" t="s">
        <v>222</v>
      </c>
      <c r="J62" s="49">
        <v>32541</v>
      </c>
      <c r="K62" s="94">
        <v>32541</v>
      </c>
      <c r="L62" s="99">
        <v>54573</v>
      </c>
      <c r="M62" s="94">
        <v>32541</v>
      </c>
      <c r="N62" s="94">
        <v>32541</v>
      </c>
      <c r="O62" s="52">
        <f t="shared" si="28"/>
        <v>0</v>
      </c>
      <c r="P62" s="56">
        <f t="shared" si="29"/>
        <v>1</v>
      </c>
    </row>
    <row r="63" ht="17.3" customHeight="1" spans="1:16">
      <c r="A63" s="60" t="s">
        <v>104</v>
      </c>
      <c r="B63" s="49"/>
      <c r="C63" s="95"/>
      <c r="D63" s="95"/>
      <c r="E63" s="95"/>
      <c r="F63" s="95"/>
      <c r="G63" s="52"/>
      <c r="H63" s="56"/>
      <c r="I63" s="60" t="s">
        <v>223</v>
      </c>
      <c r="J63" s="49"/>
      <c r="K63" s="49"/>
      <c r="L63" s="94"/>
      <c r="M63" s="94"/>
      <c r="N63" s="94"/>
      <c r="O63" s="49"/>
      <c r="P63" s="53"/>
    </row>
    <row r="64" ht="17.3" customHeight="1" spans="1:16">
      <c r="A64" s="60" t="s">
        <v>105</v>
      </c>
      <c r="B64" s="49">
        <v>92762</v>
      </c>
      <c r="C64" s="95">
        <v>92762</v>
      </c>
      <c r="D64" s="95">
        <v>463374</v>
      </c>
      <c r="E64" s="95">
        <v>128975</v>
      </c>
      <c r="F64" s="95">
        <v>128975</v>
      </c>
      <c r="G64" s="52">
        <f t="shared" si="26"/>
        <v>0</v>
      </c>
      <c r="H64" s="56">
        <f t="shared" si="27"/>
        <v>1</v>
      </c>
      <c r="I64" s="60" t="s">
        <v>224</v>
      </c>
      <c r="J64" s="49"/>
      <c r="K64" s="49"/>
      <c r="L64" s="94"/>
      <c r="M64" s="94"/>
      <c r="N64" s="94"/>
      <c r="O64" s="49"/>
      <c r="P64" s="53"/>
    </row>
    <row r="65" ht="17.3" customHeight="1" spans="1:16">
      <c r="A65" s="60" t="s">
        <v>225</v>
      </c>
      <c r="B65" s="49">
        <f t="shared" ref="B65:F65" si="31">SUM(B66:B67)</f>
        <v>134000</v>
      </c>
      <c r="C65" s="49">
        <f t="shared" si="31"/>
        <v>134000</v>
      </c>
      <c r="D65" s="49">
        <f t="shared" si="31"/>
        <v>85140</v>
      </c>
      <c r="E65" s="49">
        <f t="shared" si="31"/>
        <v>160000</v>
      </c>
      <c r="F65" s="49">
        <f t="shared" si="31"/>
        <v>160000</v>
      </c>
      <c r="G65" s="52">
        <f t="shared" si="26"/>
        <v>0</v>
      </c>
      <c r="H65" s="56">
        <f t="shared" si="27"/>
        <v>1</v>
      </c>
      <c r="I65" s="60" t="s">
        <v>226</v>
      </c>
      <c r="J65" s="49"/>
      <c r="K65" s="49"/>
      <c r="L65" s="94">
        <v>105000</v>
      </c>
      <c r="M65" s="94"/>
      <c r="N65" s="94"/>
      <c r="O65" s="49"/>
      <c r="P65" s="53"/>
    </row>
    <row r="66" ht="17.3" customHeight="1" spans="1:16">
      <c r="A66" s="60" t="s">
        <v>227</v>
      </c>
      <c r="B66" s="49">
        <v>110000</v>
      </c>
      <c r="C66" s="100">
        <v>110000</v>
      </c>
      <c r="D66" s="100">
        <v>61140</v>
      </c>
      <c r="E66" s="100">
        <v>110000</v>
      </c>
      <c r="F66" s="100">
        <v>110000</v>
      </c>
      <c r="G66" s="52">
        <f t="shared" si="26"/>
        <v>0</v>
      </c>
      <c r="H66" s="56">
        <f t="shared" si="27"/>
        <v>1</v>
      </c>
      <c r="I66" s="60" t="s">
        <v>228</v>
      </c>
      <c r="J66" s="49"/>
      <c r="K66" s="49">
        <f t="shared" ref="J66:M66" si="32">SUM(K67:K68)</f>
        <v>16000</v>
      </c>
      <c r="L66" s="49">
        <f t="shared" si="32"/>
        <v>12131</v>
      </c>
      <c r="M66" s="49">
        <f>M67+M68</f>
        <v>60291</v>
      </c>
      <c r="N66" s="49">
        <f>N67+N68</f>
        <v>60291</v>
      </c>
      <c r="O66" s="52">
        <f t="shared" ref="O66:O71" si="33">N66-M66</f>
        <v>0</v>
      </c>
      <c r="P66" s="56"/>
    </row>
    <row r="67" ht="17.3" customHeight="1" spans="1:16">
      <c r="A67" s="60" t="s">
        <v>229</v>
      </c>
      <c r="B67" s="49">
        <v>24000</v>
      </c>
      <c r="C67" s="100">
        <v>24000</v>
      </c>
      <c r="D67" s="100">
        <v>24000</v>
      </c>
      <c r="E67" s="100">
        <v>50000</v>
      </c>
      <c r="F67" s="100">
        <v>50000</v>
      </c>
      <c r="G67" s="52">
        <f t="shared" si="26"/>
        <v>0</v>
      </c>
      <c r="H67" s="56">
        <f t="shared" si="27"/>
        <v>1</v>
      </c>
      <c r="I67" s="102" t="s">
        <v>230</v>
      </c>
      <c r="J67" s="49"/>
      <c r="K67" s="94">
        <v>16000</v>
      </c>
      <c r="L67" s="94">
        <v>12131</v>
      </c>
      <c r="M67" s="49">
        <f>64291-4000</f>
        <v>60291</v>
      </c>
      <c r="N67" s="49">
        <f>64291-4000</f>
        <v>60291</v>
      </c>
      <c r="O67" s="52">
        <f t="shared" si="33"/>
        <v>0</v>
      </c>
      <c r="P67" s="56"/>
    </row>
    <row r="68" ht="17.3" customHeight="1" spans="1:16">
      <c r="A68" s="60" t="s">
        <v>195</v>
      </c>
      <c r="B68" s="49">
        <v>138927</v>
      </c>
      <c r="C68" s="100">
        <v>138927</v>
      </c>
      <c r="D68" s="100">
        <v>138927</v>
      </c>
      <c r="E68" s="100">
        <v>259829</v>
      </c>
      <c r="F68" s="100">
        <v>259829</v>
      </c>
      <c r="G68" s="52">
        <f t="shared" si="26"/>
        <v>0</v>
      </c>
      <c r="H68" s="56">
        <f t="shared" si="27"/>
        <v>1</v>
      </c>
      <c r="I68" s="102" t="s">
        <v>231</v>
      </c>
      <c r="J68" s="49"/>
      <c r="K68" s="49"/>
      <c r="L68" s="49"/>
      <c r="M68" s="49"/>
      <c r="N68" s="49"/>
      <c r="O68" s="49"/>
      <c r="P68" s="53"/>
    </row>
    <row r="69" ht="17.3" customHeight="1" spans="1:16">
      <c r="A69" s="60" t="s">
        <v>197</v>
      </c>
      <c r="B69" s="49">
        <v>1195</v>
      </c>
      <c r="C69" s="101">
        <v>1195</v>
      </c>
      <c r="D69" s="100">
        <v>16934</v>
      </c>
      <c r="E69" s="100">
        <v>1925</v>
      </c>
      <c r="F69" s="100">
        <v>1925</v>
      </c>
      <c r="G69" s="52">
        <f t="shared" si="26"/>
        <v>0</v>
      </c>
      <c r="H69" s="56">
        <f t="shared" si="27"/>
        <v>1</v>
      </c>
      <c r="I69" s="60" t="s">
        <v>232</v>
      </c>
      <c r="J69" s="49">
        <v>1965</v>
      </c>
      <c r="K69" s="94">
        <f>2423-458</f>
        <v>1965</v>
      </c>
      <c r="L69" s="94">
        <v>259829</v>
      </c>
      <c r="M69" s="49"/>
      <c r="N69" s="49"/>
      <c r="O69" s="53"/>
      <c r="P69" s="53"/>
    </row>
    <row r="70" ht="17.3" customHeight="1" spans="1:16">
      <c r="A70" s="60" t="s">
        <v>233</v>
      </c>
      <c r="B70" s="49">
        <v>108946</v>
      </c>
      <c r="C70" s="100">
        <v>108946</v>
      </c>
      <c r="D70" s="100">
        <v>102836</v>
      </c>
      <c r="E70" s="100">
        <v>105000</v>
      </c>
      <c r="F70" s="100">
        <v>105000</v>
      </c>
      <c r="G70" s="52">
        <f t="shared" si="26"/>
        <v>0</v>
      </c>
      <c r="H70" s="56">
        <f t="shared" si="27"/>
        <v>1</v>
      </c>
      <c r="I70" s="48"/>
      <c r="J70" s="49"/>
      <c r="K70" s="49"/>
      <c r="L70" s="49"/>
      <c r="M70" s="49"/>
      <c r="N70" s="49"/>
      <c r="O70" s="53"/>
      <c r="P70" s="53"/>
    </row>
    <row r="71" ht="17.3" customHeight="1" spans="1:16">
      <c r="A71" s="87" t="s">
        <v>109</v>
      </c>
      <c r="B71" s="49">
        <f t="shared" ref="B71:F71" si="34">B7+B34+B39</f>
        <v>2001968</v>
      </c>
      <c r="C71" s="49">
        <f t="shared" si="34"/>
        <v>2041968</v>
      </c>
      <c r="D71" s="49">
        <f t="shared" si="34"/>
        <v>2706302</v>
      </c>
      <c r="E71" s="49">
        <f t="shared" si="34"/>
        <v>2725018</v>
      </c>
      <c r="F71" s="49">
        <f t="shared" si="34"/>
        <v>2750018</v>
      </c>
      <c r="G71" s="52">
        <f t="shared" si="26"/>
        <v>25000</v>
      </c>
      <c r="H71" s="56">
        <f t="shared" si="27"/>
        <v>1.00917425132605</v>
      </c>
      <c r="I71" s="87" t="s">
        <v>110</v>
      </c>
      <c r="J71" s="49">
        <f t="shared" ref="J71:N71" si="35">J7+J32+J34+J39</f>
        <v>2001968</v>
      </c>
      <c r="K71" s="49">
        <f t="shared" si="35"/>
        <v>2041968</v>
      </c>
      <c r="L71" s="49">
        <f t="shared" si="35"/>
        <v>2706302</v>
      </c>
      <c r="M71" s="49">
        <f t="shared" si="35"/>
        <v>2725018</v>
      </c>
      <c r="N71" s="49">
        <f t="shared" si="35"/>
        <v>2750018</v>
      </c>
      <c r="O71" s="52">
        <f t="shared" si="33"/>
        <v>25000</v>
      </c>
      <c r="P71" s="56">
        <f>N71/M71</f>
        <v>1.00917425132605</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printOptions horizontalCentered="1"/>
  <pageMargins left="0.55" right="0.55" top="0.511805555555556" bottom="0.471527777777778" header="0.393055555555556" footer="0.118055555555556"/>
  <pageSetup paperSize="9" scale="66" firstPageNumber="12" fitToHeight="0" orientation="landscape" useFirstPageNumber="1" horizontalDpi="600"/>
  <headerFooter>
    <oddFooter>&amp;C&amp;22—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P76"/>
  <sheetViews>
    <sheetView view="pageBreakPreview" zoomScale="85" zoomScaleNormal="100" zoomScaleSheetLayoutView="85" workbookViewId="0">
      <pane xSplit="1" ySplit="6" topLeftCell="B21" activePane="bottomRight" state="frozen"/>
      <selection/>
      <selection pane="topRight"/>
      <selection pane="bottomLeft"/>
      <selection pane="bottomRight" activeCell="A1" sqref="$A1:$XFD1048576"/>
    </sheetView>
  </sheetViews>
  <sheetFormatPr defaultColWidth="8.89166666666667" defaultRowHeight="13.5"/>
  <cols>
    <col min="1" max="1" width="44.825" style="37" customWidth="1"/>
    <col min="2" max="2" width="8.63333333333333" style="37" customWidth="1"/>
    <col min="3" max="4" width="9.125" style="37" customWidth="1"/>
    <col min="5" max="6" width="8.925" style="37" customWidth="1"/>
    <col min="7" max="7" width="8.56666666666667" style="37" customWidth="1"/>
    <col min="8" max="8" width="7.63333333333333" style="37" customWidth="1"/>
    <col min="9" max="9" width="49.6333333333333" style="37" customWidth="1"/>
    <col min="10" max="10" width="8.63333333333333" style="37" customWidth="1"/>
    <col min="11" max="12" width="9.125" style="37" customWidth="1"/>
    <col min="13" max="14" width="8.925" style="37" customWidth="1"/>
    <col min="15" max="16" width="7.63333333333333" style="37" customWidth="1"/>
    <col min="17" max="16384" width="8.89166666666667" style="37"/>
  </cols>
  <sheetData>
    <row r="1" ht="16" customHeight="1" spans="1:1">
      <c r="A1" s="37" t="s">
        <v>234</v>
      </c>
    </row>
    <row r="2" ht="30" customHeight="1" spans="1:16">
      <c r="A2" s="38" t="s">
        <v>235</v>
      </c>
      <c r="B2" s="38"/>
      <c r="C2" s="38"/>
      <c r="D2" s="38"/>
      <c r="E2" s="38"/>
      <c r="F2" s="38"/>
      <c r="G2" s="38"/>
      <c r="H2" s="38"/>
      <c r="I2" s="38"/>
      <c r="J2" s="38"/>
      <c r="K2" s="38"/>
      <c r="L2" s="38"/>
      <c r="M2" s="38"/>
      <c r="N2" s="38"/>
      <c r="O2" s="38"/>
      <c r="P2" s="38"/>
    </row>
    <row r="3" s="35" customFormat="1" ht="16" customHeight="1" spans="14:16">
      <c r="N3" s="37"/>
      <c r="O3" s="68" t="s">
        <v>2</v>
      </c>
      <c r="P3" s="37"/>
    </row>
    <row r="4" s="36" customFormat="1" ht="21" customHeight="1" spans="1:16">
      <c r="A4" s="39" t="s">
        <v>3</v>
      </c>
      <c r="B4" s="39"/>
      <c r="C4" s="39"/>
      <c r="D4" s="39"/>
      <c r="E4" s="39"/>
      <c r="F4" s="39"/>
      <c r="G4" s="39"/>
      <c r="H4" s="39"/>
      <c r="I4" s="39" t="s">
        <v>4</v>
      </c>
      <c r="J4" s="39"/>
      <c r="K4" s="39"/>
      <c r="L4" s="39"/>
      <c r="M4" s="39"/>
      <c r="N4" s="39"/>
      <c r="O4" s="39"/>
      <c r="P4" s="39"/>
    </row>
    <row r="5" s="36" customFormat="1" ht="26.8" customHeight="1" spans="1:16">
      <c r="A5" s="40" t="s">
        <v>5</v>
      </c>
      <c r="B5" s="41" t="s">
        <v>6</v>
      </c>
      <c r="C5" s="41" t="s">
        <v>7</v>
      </c>
      <c r="D5" s="41" t="s">
        <v>8</v>
      </c>
      <c r="E5" s="41" t="s">
        <v>9</v>
      </c>
      <c r="F5" s="41" t="s">
        <v>10</v>
      </c>
      <c r="G5" s="41" t="s">
        <v>11</v>
      </c>
      <c r="H5" s="41" t="s">
        <v>12</v>
      </c>
      <c r="I5" s="69" t="s">
        <v>13</v>
      </c>
      <c r="J5" s="41" t="s">
        <v>6</v>
      </c>
      <c r="K5" s="41" t="s">
        <v>7</v>
      </c>
      <c r="L5" s="41" t="s">
        <v>8</v>
      </c>
      <c r="M5" s="41" t="s">
        <v>9</v>
      </c>
      <c r="N5" s="41" t="s">
        <v>10</v>
      </c>
      <c r="O5" s="41" t="s">
        <v>11</v>
      </c>
      <c r="P5" s="41" t="s">
        <v>12</v>
      </c>
    </row>
    <row r="6" s="36" customFormat="1" ht="26.8" customHeight="1" spans="1:16">
      <c r="A6" s="40"/>
      <c r="B6" s="41"/>
      <c r="C6" s="41"/>
      <c r="D6" s="41"/>
      <c r="E6" s="41"/>
      <c r="F6" s="41"/>
      <c r="G6" s="41"/>
      <c r="H6" s="41"/>
      <c r="I6" s="69"/>
      <c r="J6" s="41"/>
      <c r="K6" s="41"/>
      <c r="L6" s="41"/>
      <c r="M6" s="41"/>
      <c r="N6" s="41"/>
      <c r="O6" s="41"/>
      <c r="P6" s="41"/>
    </row>
    <row r="7" s="36" customFormat="1" ht="17" customHeight="1" spans="1:16">
      <c r="A7" s="42" t="s">
        <v>113</v>
      </c>
      <c r="B7" s="43">
        <f t="shared" ref="B7:F7" si="0">SUM(B8:B22)</f>
        <v>1693460</v>
      </c>
      <c r="C7" s="44">
        <f t="shared" si="0"/>
        <v>1693460</v>
      </c>
      <c r="D7" s="44">
        <f t="shared" si="0"/>
        <v>1533361</v>
      </c>
      <c r="E7" s="44">
        <f t="shared" si="0"/>
        <v>1693460</v>
      </c>
      <c r="F7" s="44">
        <f t="shared" si="0"/>
        <v>1693460</v>
      </c>
      <c r="G7" s="45">
        <f>F7-E7</f>
        <v>0</v>
      </c>
      <c r="H7" s="46">
        <f>F7/E7</f>
        <v>1</v>
      </c>
      <c r="I7" s="42" t="s">
        <v>114</v>
      </c>
      <c r="J7" s="44">
        <f t="shared" ref="J7:N7" si="1">J8+J11+J14+J24+J30+J35+J39+J46+J53</f>
        <v>2120560</v>
      </c>
      <c r="K7" s="44">
        <f t="shared" si="1"/>
        <v>2169390</v>
      </c>
      <c r="L7" s="44">
        <f t="shared" si="1"/>
        <v>1849490</v>
      </c>
      <c r="M7" s="44">
        <f t="shared" si="1"/>
        <v>2131022</v>
      </c>
      <c r="N7" s="44">
        <f t="shared" si="1"/>
        <v>2319664</v>
      </c>
      <c r="O7" s="45">
        <f>N7-M7</f>
        <v>188642</v>
      </c>
      <c r="P7" s="46">
        <f>N7/M7</f>
        <v>1.08852184538686</v>
      </c>
    </row>
    <row r="8" ht="17" customHeight="1" spans="1:16">
      <c r="A8" s="47" t="s">
        <v>115</v>
      </c>
      <c r="B8" s="48"/>
      <c r="C8" s="49"/>
      <c r="D8" s="50"/>
      <c r="E8" s="51"/>
      <c r="F8" s="51"/>
      <c r="G8" s="52"/>
      <c r="H8" s="53"/>
      <c r="I8" s="70" t="s">
        <v>116</v>
      </c>
      <c r="J8" s="49"/>
      <c r="K8" s="49"/>
      <c r="L8" s="49"/>
      <c r="M8" s="49"/>
      <c r="N8" s="49"/>
      <c r="O8" s="49"/>
      <c r="P8" s="53"/>
    </row>
    <row r="9" ht="17" customHeight="1" spans="1:16">
      <c r="A9" s="54" t="s">
        <v>117</v>
      </c>
      <c r="B9" s="48"/>
      <c r="C9" s="49"/>
      <c r="D9" s="55"/>
      <c r="E9" s="51"/>
      <c r="F9" s="51"/>
      <c r="G9" s="52"/>
      <c r="H9" s="53"/>
      <c r="I9" s="70" t="s">
        <v>118</v>
      </c>
      <c r="J9" s="49"/>
      <c r="K9" s="49"/>
      <c r="L9" s="49"/>
      <c r="M9" s="49"/>
      <c r="N9" s="49"/>
      <c r="O9" s="49"/>
      <c r="P9" s="53"/>
    </row>
    <row r="10" ht="17" customHeight="1" spans="1:16">
      <c r="A10" s="54" t="s">
        <v>119</v>
      </c>
      <c r="B10" s="48"/>
      <c r="C10" s="49"/>
      <c r="D10" s="55"/>
      <c r="E10" s="51"/>
      <c r="F10" s="51"/>
      <c r="G10" s="52"/>
      <c r="H10" s="53"/>
      <c r="I10" s="71" t="s">
        <v>120</v>
      </c>
      <c r="J10" s="49"/>
      <c r="K10" s="49"/>
      <c r="L10" s="49"/>
      <c r="M10" s="49"/>
      <c r="N10" s="49"/>
      <c r="O10" s="49"/>
      <c r="P10" s="53"/>
    </row>
    <row r="11" ht="17" customHeight="1" spans="1:16">
      <c r="A11" s="47" t="s">
        <v>121</v>
      </c>
      <c r="B11" s="48">
        <v>63000</v>
      </c>
      <c r="C11" s="49">
        <v>63000</v>
      </c>
      <c r="D11" s="50">
        <v>58370</v>
      </c>
      <c r="E11" s="51">
        <v>65000</v>
      </c>
      <c r="F11" s="51">
        <v>65000</v>
      </c>
      <c r="G11" s="52">
        <f>F11-E11</f>
        <v>0</v>
      </c>
      <c r="H11" s="56">
        <f>F11/E11</f>
        <v>1</v>
      </c>
      <c r="I11" s="72" t="s">
        <v>122</v>
      </c>
      <c r="J11" s="49">
        <f t="shared" ref="J11:N11" si="2">SUM(J12:J13)</f>
        <v>258</v>
      </c>
      <c r="K11" s="49">
        <f t="shared" si="2"/>
        <v>258</v>
      </c>
      <c r="L11" s="49">
        <f t="shared" si="2"/>
        <v>239</v>
      </c>
      <c r="M11" s="49">
        <f t="shared" si="2"/>
        <v>0</v>
      </c>
      <c r="N11" s="49">
        <f t="shared" si="2"/>
        <v>0</v>
      </c>
      <c r="O11" s="52">
        <f>N11-M11</f>
        <v>0</v>
      </c>
      <c r="P11" s="56"/>
    </row>
    <row r="12" ht="17" customHeight="1" spans="1:16">
      <c r="A12" s="47" t="s">
        <v>123</v>
      </c>
      <c r="B12" s="48">
        <v>977</v>
      </c>
      <c r="C12" s="49">
        <v>977</v>
      </c>
      <c r="D12" s="50">
        <v>1632</v>
      </c>
      <c r="E12" s="51">
        <v>977</v>
      </c>
      <c r="F12" s="51">
        <v>977</v>
      </c>
      <c r="G12" s="52">
        <f t="shared" ref="G12:G20" si="3">F12-E12</f>
        <v>0</v>
      </c>
      <c r="H12" s="56">
        <f t="shared" ref="H12:H20" si="4">F12/E12</f>
        <v>1</v>
      </c>
      <c r="I12" s="71" t="s">
        <v>124</v>
      </c>
      <c r="J12" s="49">
        <v>258</v>
      </c>
      <c r="K12" s="73">
        <f>246+12</f>
        <v>258</v>
      </c>
      <c r="L12" s="49">
        <v>239</v>
      </c>
      <c r="M12" s="49"/>
      <c r="N12" s="49"/>
      <c r="O12" s="52">
        <f t="shared" ref="O11:O21" si="5">N12-M12</f>
        <v>0</v>
      </c>
      <c r="P12" s="56"/>
    </row>
    <row r="13" ht="17" customHeight="1" spans="1:16">
      <c r="A13" s="47" t="s">
        <v>125</v>
      </c>
      <c r="B13" s="48">
        <v>1511023</v>
      </c>
      <c r="C13" s="49">
        <v>1511023</v>
      </c>
      <c r="D13" s="50">
        <v>1407287</v>
      </c>
      <c r="E13" s="51">
        <v>1559023</v>
      </c>
      <c r="F13" s="51">
        <v>1559023</v>
      </c>
      <c r="G13" s="52">
        <f t="shared" si="3"/>
        <v>0</v>
      </c>
      <c r="H13" s="56">
        <f t="shared" si="4"/>
        <v>1</v>
      </c>
      <c r="I13" s="71" t="s">
        <v>126</v>
      </c>
      <c r="J13" s="49"/>
      <c r="K13" s="49"/>
      <c r="L13" s="49"/>
      <c r="M13" s="49"/>
      <c r="N13" s="49"/>
      <c r="O13" s="52">
        <f t="shared" si="5"/>
        <v>0</v>
      </c>
      <c r="P13" s="56"/>
    </row>
    <row r="14" ht="17" customHeight="1" spans="1:16">
      <c r="A14" s="47" t="s">
        <v>127</v>
      </c>
      <c r="B14" s="48"/>
      <c r="C14" s="49"/>
      <c r="D14" s="57"/>
      <c r="E14" s="51"/>
      <c r="F14" s="51"/>
      <c r="G14" s="52">
        <f t="shared" si="3"/>
        <v>0</v>
      </c>
      <c r="H14" s="56"/>
      <c r="I14" s="70" t="s">
        <v>128</v>
      </c>
      <c r="J14" s="49">
        <f t="shared" ref="J14:N14" si="6">SUM(J15:J23)</f>
        <v>1451646</v>
      </c>
      <c r="K14" s="49">
        <f t="shared" si="6"/>
        <v>1450646</v>
      </c>
      <c r="L14" s="49">
        <f t="shared" si="6"/>
        <v>1272498</v>
      </c>
      <c r="M14" s="49">
        <f t="shared" si="6"/>
        <v>1532779</v>
      </c>
      <c r="N14" s="49">
        <f t="shared" si="6"/>
        <v>1532779</v>
      </c>
      <c r="O14" s="52">
        <f t="shared" si="5"/>
        <v>0</v>
      </c>
      <c r="P14" s="56">
        <f t="shared" ref="P11:P21" si="7">N14/M14</f>
        <v>1</v>
      </c>
    </row>
    <row r="15" ht="17" customHeight="1" spans="1:16">
      <c r="A15" s="47" t="s">
        <v>129</v>
      </c>
      <c r="B15" s="48">
        <v>1400</v>
      </c>
      <c r="C15" s="49">
        <v>1400</v>
      </c>
      <c r="D15" s="50">
        <v>1764</v>
      </c>
      <c r="E15" s="51">
        <v>1400</v>
      </c>
      <c r="F15" s="51">
        <v>1400</v>
      </c>
      <c r="G15" s="52">
        <f t="shared" si="3"/>
        <v>0</v>
      </c>
      <c r="H15" s="56">
        <f t="shared" si="4"/>
        <v>1</v>
      </c>
      <c r="I15" s="70" t="s">
        <v>130</v>
      </c>
      <c r="J15" s="49">
        <v>1256549</v>
      </c>
      <c r="K15" s="73">
        <f>4359+9882+1242308</f>
        <v>1256549</v>
      </c>
      <c r="L15" s="73">
        <v>1028931</v>
      </c>
      <c r="M15" s="73">
        <v>1360966</v>
      </c>
      <c r="N15" s="73">
        <v>1360966</v>
      </c>
      <c r="O15" s="52">
        <f t="shared" si="5"/>
        <v>0</v>
      </c>
      <c r="P15" s="56">
        <f t="shared" si="7"/>
        <v>1</v>
      </c>
    </row>
    <row r="16" ht="17" customHeight="1" spans="1:16">
      <c r="A16" s="54" t="s">
        <v>131</v>
      </c>
      <c r="B16" s="48">
        <v>100000</v>
      </c>
      <c r="C16" s="49">
        <v>100000</v>
      </c>
      <c r="D16" s="50">
        <v>46501</v>
      </c>
      <c r="E16" s="51">
        <v>50000</v>
      </c>
      <c r="F16" s="51">
        <v>50000</v>
      </c>
      <c r="G16" s="52">
        <f t="shared" si="3"/>
        <v>0</v>
      </c>
      <c r="H16" s="56">
        <f t="shared" si="4"/>
        <v>1</v>
      </c>
      <c r="I16" s="70" t="s">
        <v>132</v>
      </c>
      <c r="J16" s="49">
        <v>63000</v>
      </c>
      <c r="K16" s="73">
        <v>63000</v>
      </c>
      <c r="L16" s="73">
        <v>26576</v>
      </c>
      <c r="M16" s="73">
        <v>82000</v>
      </c>
      <c r="N16" s="73">
        <v>82000</v>
      </c>
      <c r="O16" s="52">
        <f t="shared" si="5"/>
        <v>0</v>
      </c>
      <c r="P16" s="56">
        <f t="shared" si="7"/>
        <v>1</v>
      </c>
    </row>
    <row r="17" ht="17" customHeight="1" spans="1:16">
      <c r="A17" s="47" t="s">
        <v>133</v>
      </c>
      <c r="B17" s="48"/>
      <c r="C17" s="49"/>
      <c r="D17" s="57"/>
      <c r="E17" s="51"/>
      <c r="F17" s="51"/>
      <c r="G17" s="52">
        <f t="shared" si="3"/>
        <v>0</v>
      </c>
      <c r="H17" s="56"/>
      <c r="I17" s="70" t="s">
        <v>134</v>
      </c>
      <c r="J17" s="49">
        <v>977</v>
      </c>
      <c r="K17" s="73">
        <v>977</v>
      </c>
      <c r="L17" s="73">
        <v>923</v>
      </c>
      <c r="M17" s="73">
        <v>977</v>
      </c>
      <c r="N17" s="73">
        <v>977</v>
      </c>
      <c r="O17" s="52">
        <f t="shared" si="5"/>
        <v>0</v>
      </c>
      <c r="P17" s="56">
        <f t="shared" si="7"/>
        <v>1</v>
      </c>
    </row>
    <row r="18" ht="17" customHeight="1" spans="1:16">
      <c r="A18" s="47" t="s">
        <v>135</v>
      </c>
      <c r="B18" s="48"/>
      <c r="C18" s="49"/>
      <c r="D18" s="57"/>
      <c r="E18" s="51"/>
      <c r="F18" s="51"/>
      <c r="G18" s="52">
        <f t="shared" si="3"/>
        <v>0</v>
      </c>
      <c r="H18" s="56"/>
      <c r="I18" s="70" t="s">
        <v>136</v>
      </c>
      <c r="J18" s="49">
        <v>100120</v>
      </c>
      <c r="K18" s="73">
        <f>100000+120</f>
        <v>100120</v>
      </c>
      <c r="L18" s="73">
        <v>41973</v>
      </c>
      <c r="M18" s="73">
        <v>51836</v>
      </c>
      <c r="N18" s="73">
        <v>51836</v>
      </c>
      <c r="O18" s="52">
        <f t="shared" si="5"/>
        <v>0</v>
      </c>
      <c r="P18" s="56">
        <f t="shared" si="7"/>
        <v>1</v>
      </c>
    </row>
    <row r="19" ht="17" customHeight="1" spans="1:16">
      <c r="A19" s="54" t="s">
        <v>137</v>
      </c>
      <c r="B19" s="48">
        <v>17000</v>
      </c>
      <c r="C19" s="49">
        <v>17000</v>
      </c>
      <c r="D19" s="50">
        <v>17736</v>
      </c>
      <c r="E19" s="51">
        <v>17000</v>
      </c>
      <c r="F19" s="51">
        <v>17000</v>
      </c>
      <c r="G19" s="52">
        <f t="shared" si="3"/>
        <v>0</v>
      </c>
      <c r="H19" s="56">
        <f t="shared" si="4"/>
        <v>1</v>
      </c>
      <c r="I19" s="70" t="s">
        <v>138</v>
      </c>
      <c r="J19" s="49">
        <v>17000</v>
      </c>
      <c r="K19" s="73">
        <v>17000</v>
      </c>
      <c r="L19" s="73">
        <v>16898</v>
      </c>
      <c r="M19" s="73">
        <v>17000</v>
      </c>
      <c r="N19" s="73">
        <v>17000</v>
      </c>
      <c r="O19" s="52">
        <f t="shared" si="5"/>
        <v>0</v>
      </c>
      <c r="P19" s="56">
        <f t="shared" si="7"/>
        <v>1</v>
      </c>
    </row>
    <row r="20" ht="17" customHeight="1" spans="1:16">
      <c r="A20" s="54" t="s">
        <v>139</v>
      </c>
      <c r="B20" s="48">
        <v>60</v>
      </c>
      <c r="C20" s="49">
        <v>60</v>
      </c>
      <c r="D20" s="50">
        <v>71</v>
      </c>
      <c r="E20" s="51">
        <v>60</v>
      </c>
      <c r="F20" s="51">
        <v>60</v>
      </c>
      <c r="G20" s="52">
        <f t="shared" si="3"/>
        <v>0</v>
      </c>
      <c r="H20" s="56">
        <f t="shared" si="4"/>
        <v>1</v>
      </c>
      <c r="I20" s="70" t="s">
        <v>140</v>
      </c>
      <c r="J20" s="49"/>
      <c r="K20" s="73"/>
      <c r="L20" s="57"/>
      <c r="M20" s="73"/>
      <c r="N20" s="73"/>
      <c r="O20" s="52"/>
      <c r="P20" s="56"/>
    </row>
    <row r="21" ht="17" customHeight="1" spans="1:16">
      <c r="A21" s="54" t="s">
        <v>141</v>
      </c>
      <c r="B21" s="48"/>
      <c r="C21" s="49"/>
      <c r="D21" s="49"/>
      <c r="E21" s="49"/>
      <c r="F21" s="49"/>
      <c r="G21" s="52"/>
      <c r="H21" s="53"/>
      <c r="I21" s="70" t="s">
        <v>142</v>
      </c>
      <c r="J21" s="49">
        <v>14000</v>
      </c>
      <c r="K21" s="73">
        <f>34000-20000-1000</f>
        <v>13000</v>
      </c>
      <c r="L21" s="73">
        <v>157197</v>
      </c>
      <c r="M21" s="73">
        <v>20000</v>
      </c>
      <c r="N21" s="73">
        <v>20000</v>
      </c>
      <c r="O21" s="52">
        <f>N21-M21</f>
        <v>0</v>
      </c>
      <c r="P21" s="56"/>
    </row>
    <row r="22" ht="17" customHeight="1" spans="1:16">
      <c r="A22" s="54" t="s">
        <v>143</v>
      </c>
      <c r="B22" s="48"/>
      <c r="C22" s="49"/>
      <c r="D22" s="49"/>
      <c r="E22" s="49"/>
      <c r="F22" s="49"/>
      <c r="G22" s="52"/>
      <c r="H22" s="53"/>
      <c r="I22" s="70" t="s">
        <v>144</v>
      </c>
      <c r="J22" s="49"/>
      <c r="K22" s="49"/>
      <c r="L22" s="49"/>
      <c r="M22" s="49"/>
      <c r="N22" s="49"/>
      <c r="O22" s="49"/>
      <c r="P22" s="53"/>
    </row>
    <row r="23" ht="30" customHeight="1" spans="1:16">
      <c r="A23" s="48"/>
      <c r="B23" s="48"/>
      <c r="C23" s="49"/>
      <c r="D23" s="49"/>
      <c r="E23" s="49"/>
      <c r="F23" s="49"/>
      <c r="G23" s="52"/>
      <c r="H23" s="53"/>
      <c r="I23" s="74" t="s">
        <v>145</v>
      </c>
      <c r="J23" s="49"/>
      <c r="K23" s="49"/>
      <c r="L23" s="49"/>
      <c r="M23" s="49"/>
      <c r="N23" s="49"/>
      <c r="O23" s="49"/>
      <c r="P23" s="53"/>
    </row>
    <row r="24" ht="17" customHeight="1" spans="1:16">
      <c r="A24" s="48"/>
      <c r="B24" s="48"/>
      <c r="C24" s="49"/>
      <c r="D24" s="49"/>
      <c r="E24" s="49"/>
      <c r="F24" s="49"/>
      <c r="G24" s="52"/>
      <c r="H24" s="53"/>
      <c r="I24" s="70" t="s">
        <v>146</v>
      </c>
      <c r="J24" s="49"/>
      <c r="K24" s="49"/>
      <c r="L24" s="49"/>
      <c r="M24" s="49">
        <f>SUM(M25:M29)</f>
        <v>220</v>
      </c>
      <c r="N24" s="49">
        <f>SUM(N25:N29)</f>
        <v>220</v>
      </c>
      <c r="O24" s="52">
        <f>N24-M24</f>
        <v>0</v>
      </c>
      <c r="P24" s="56">
        <f>N24/M24</f>
        <v>1</v>
      </c>
    </row>
    <row r="25" ht="17" customHeight="1" spans="1:16">
      <c r="A25" s="48"/>
      <c r="B25" s="48"/>
      <c r="C25" s="49"/>
      <c r="D25" s="49"/>
      <c r="E25" s="49"/>
      <c r="F25" s="49"/>
      <c r="G25" s="52"/>
      <c r="H25" s="53"/>
      <c r="I25" s="70" t="s">
        <v>147</v>
      </c>
      <c r="J25" s="49"/>
      <c r="K25" s="49"/>
      <c r="L25" s="49"/>
      <c r="M25" s="49"/>
      <c r="N25" s="49"/>
      <c r="O25" s="49"/>
      <c r="P25" s="53"/>
    </row>
    <row r="26" ht="17" customHeight="1" spans="1:16">
      <c r="A26" s="48"/>
      <c r="B26" s="48"/>
      <c r="C26" s="49"/>
      <c r="D26" s="49"/>
      <c r="E26" s="49"/>
      <c r="F26" s="49"/>
      <c r="G26" s="52"/>
      <c r="H26" s="53"/>
      <c r="I26" s="70" t="s">
        <v>148</v>
      </c>
      <c r="J26" s="49"/>
      <c r="K26" s="49"/>
      <c r="L26" s="49"/>
      <c r="M26" s="49"/>
      <c r="N26" s="49"/>
      <c r="O26" s="49"/>
      <c r="P26" s="53"/>
    </row>
    <row r="27" ht="17" customHeight="1" spans="1:16">
      <c r="A27" s="48"/>
      <c r="B27" s="48"/>
      <c r="C27" s="49"/>
      <c r="D27" s="49"/>
      <c r="E27" s="49"/>
      <c r="F27" s="49"/>
      <c r="G27" s="52"/>
      <c r="H27" s="53"/>
      <c r="I27" s="70" t="s">
        <v>124</v>
      </c>
      <c r="J27" s="49"/>
      <c r="K27" s="49"/>
      <c r="L27" s="49"/>
      <c r="M27" s="75">
        <v>220</v>
      </c>
      <c r="N27" s="75">
        <v>220</v>
      </c>
      <c r="O27" s="52">
        <f>N27-M27</f>
        <v>0</v>
      </c>
      <c r="P27" s="56">
        <f>N27/M27</f>
        <v>1</v>
      </c>
    </row>
    <row r="28" ht="17" customHeight="1" spans="1:16">
      <c r="A28" s="48"/>
      <c r="B28" s="48"/>
      <c r="C28" s="49"/>
      <c r="D28" s="49"/>
      <c r="E28" s="49"/>
      <c r="F28" s="49"/>
      <c r="G28" s="52"/>
      <c r="H28" s="53"/>
      <c r="I28" s="70" t="s">
        <v>126</v>
      </c>
      <c r="J28" s="49"/>
      <c r="K28" s="49"/>
      <c r="L28" s="49"/>
      <c r="M28" s="49"/>
      <c r="N28" s="49"/>
      <c r="O28" s="49"/>
      <c r="P28" s="53"/>
    </row>
    <row r="29" ht="30" customHeight="1" spans="1:16">
      <c r="A29" s="48"/>
      <c r="B29" s="48"/>
      <c r="C29" s="49"/>
      <c r="D29" s="49"/>
      <c r="E29" s="49"/>
      <c r="F29" s="49"/>
      <c r="G29" s="52"/>
      <c r="H29" s="53"/>
      <c r="I29" s="74" t="s">
        <v>149</v>
      </c>
      <c r="J29" s="49"/>
      <c r="K29" s="49"/>
      <c r="L29" s="49"/>
      <c r="M29" s="49"/>
      <c r="N29" s="49"/>
      <c r="O29" s="49"/>
      <c r="P29" s="53"/>
    </row>
    <row r="30" ht="17" customHeight="1" spans="1:16">
      <c r="A30" s="48"/>
      <c r="B30" s="48"/>
      <c r="C30" s="49"/>
      <c r="D30" s="49"/>
      <c r="E30" s="49"/>
      <c r="F30" s="49"/>
      <c r="G30" s="52"/>
      <c r="H30" s="53"/>
      <c r="I30" s="70" t="s">
        <v>150</v>
      </c>
      <c r="J30" s="49"/>
      <c r="K30" s="49"/>
      <c r="L30" s="49"/>
      <c r="M30" s="49"/>
      <c r="N30" s="49"/>
      <c r="O30" s="49"/>
      <c r="P30" s="53"/>
    </row>
    <row r="31" ht="17" customHeight="1" spans="1:16">
      <c r="A31" s="48"/>
      <c r="B31" s="48"/>
      <c r="C31" s="49"/>
      <c r="D31" s="49"/>
      <c r="E31" s="49"/>
      <c r="F31" s="49"/>
      <c r="G31" s="52"/>
      <c r="H31" s="53"/>
      <c r="I31" s="70" t="s">
        <v>151</v>
      </c>
      <c r="J31" s="49"/>
      <c r="K31" s="49"/>
      <c r="L31" s="49"/>
      <c r="M31" s="49"/>
      <c r="N31" s="49"/>
      <c r="O31" s="49"/>
      <c r="P31" s="53"/>
    </row>
    <row r="32" ht="17" customHeight="1" spans="1:16">
      <c r="A32" s="48"/>
      <c r="B32" s="48"/>
      <c r="C32" s="49"/>
      <c r="D32" s="49"/>
      <c r="E32" s="49"/>
      <c r="F32" s="49"/>
      <c r="G32" s="52"/>
      <c r="H32" s="53"/>
      <c r="I32" s="76" t="s">
        <v>152</v>
      </c>
      <c r="J32" s="49"/>
      <c r="K32" s="49"/>
      <c r="L32" s="49"/>
      <c r="M32" s="49"/>
      <c r="N32" s="49"/>
      <c r="O32" s="49"/>
      <c r="P32" s="53"/>
    </row>
    <row r="33" ht="17" customHeight="1" spans="1:16">
      <c r="A33" s="48"/>
      <c r="B33" s="48"/>
      <c r="C33" s="49"/>
      <c r="D33" s="49"/>
      <c r="E33" s="49"/>
      <c r="F33" s="49"/>
      <c r="G33" s="52"/>
      <c r="H33" s="53"/>
      <c r="I33" s="70" t="s">
        <v>153</v>
      </c>
      <c r="J33" s="49"/>
      <c r="K33" s="49"/>
      <c r="L33" s="49"/>
      <c r="M33" s="49"/>
      <c r="N33" s="49"/>
      <c r="O33" s="49"/>
      <c r="P33" s="53"/>
    </row>
    <row r="34" ht="30" customHeight="1" spans="1:16">
      <c r="A34" s="48"/>
      <c r="B34" s="48"/>
      <c r="C34" s="49"/>
      <c r="D34" s="49"/>
      <c r="E34" s="49"/>
      <c r="F34" s="49"/>
      <c r="G34" s="52"/>
      <c r="H34" s="53"/>
      <c r="I34" s="74" t="s">
        <v>154</v>
      </c>
      <c r="J34" s="49"/>
      <c r="K34" s="49"/>
      <c r="L34" s="49"/>
      <c r="M34" s="49"/>
      <c r="N34" s="49"/>
      <c r="O34" s="49"/>
      <c r="P34" s="53"/>
    </row>
    <row r="35" ht="17" customHeight="1" spans="1:16">
      <c r="A35" s="48"/>
      <c r="B35" s="48"/>
      <c r="C35" s="49"/>
      <c r="D35" s="49"/>
      <c r="E35" s="49"/>
      <c r="F35" s="49"/>
      <c r="G35" s="52"/>
      <c r="H35" s="53"/>
      <c r="I35" s="72" t="s">
        <v>155</v>
      </c>
      <c r="J35" s="49">
        <f t="shared" ref="J35:N35" si="8">SUM(J36:J38)</f>
        <v>545406</v>
      </c>
      <c r="K35" s="49">
        <f t="shared" si="8"/>
        <v>595236</v>
      </c>
      <c r="L35" s="49">
        <f t="shared" si="8"/>
        <v>449601</v>
      </c>
      <c r="M35" s="49">
        <f t="shared" si="8"/>
        <v>440978</v>
      </c>
      <c r="N35" s="49">
        <f t="shared" si="8"/>
        <v>629620</v>
      </c>
      <c r="O35" s="52">
        <f t="shared" ref="O35:O46" si="9">N35-M35</f>
        <v>188642</v>
      </c>
      <c r="P35" s="56">
        <f t="shared" ref="P35:P46" si="10">N35/M35</f>
        <v>1.42778097773585</v>
      </c>
    </row>
    <row r="36" ht="17" customHeight="1" spans="1:16">
      <c r="A36" s="48"/>
      <c r="B36" s="48"/>
      <c r="C36" s="49"/>
      <c r="D36" s="49"/>
      <c r="E36" s="49"/>
      <c r="F36" s="49"/>
      <c r="G36" s="52"/>
      <c r="H36" s="53"/>
      <c r="I36" s="70" t="s">
        <v>156</v>
      </c>
      <c r="J36" s="49">
        <v>543705</v>
      </c>
      <c r="K36" s="73">
        <f>590200+5-46500+128700-78870</f>
        <v>593535</v>
      </c>
      <c r="L36" s="73">
        <v>448400</v>
      </c>
      <c r="M36" s="73">
        <f>386575+492800-376900-63594</f>
        <v>438881</v>
      </c>
      <c r="N36" s="73">
        <f>M36+188642</f>
        <v>627523</v>
      </c>
      <c r="O36" s="52">
        <f t="shared" si="9"/>
        <v>188642</v>
      </c>
      <c r="P36" s="56">
        <f t="shared" si="10"/>
        <v>1.42982494115717</v>
      </c>
    </row>
    <row r="37" ht="17" customHeight="1" spans="1:16">
      <c r="A37" s="48"/>
      <c r="B37" s="48"/>
      <c r="C37" s="49"/>
      <c r="D37" s="49"/>
      <c r="E37" s="49"/>
      <c r="F37" s="49"/>
      <c r="G37" s="52"/>
      <c r="H37" s="53"/>
      <c r="I37" s="70" t="s">
        <v>157</v>
      </c>
      <c r="J37" s="49">
        <v>60</v>
      </c>
      <c r="K37" s="73">
        <v>60</v>
      </c>
      <c r="L37" s="73">
        <v>60</v>
      </c>
      <c r="M37" s="73">
        <v>60</v>
      </c>
      <c r="N37" s="73">
        <v>60</v>
      </c>
      <c r="O37" s="52">
        <f t="shared" si="9"/>
        <v>0</v>
      </c>
      <c r="P37" s="56">
        <f t="shared" si="10"/>
        <v>1</v>
      </c>
    </row>
    <row r="38" ht="17" customHeight="1" spans="1:16">
      <c r="A38" s="58"/>
      <c r="B38" s="48"/>
      <c r="C38" s="49"/>
      <c r="D38" s="49"/>
      <c r="E38" s="49"/>
      <c r="F38" s="49"/>
      <c r="G38" s="52"/>
      <c r="H38" s="53"/>
      <c r="I38" s="70" t="s">
        <v>158</v>
      </c>
      <c r="J38" s="49">
        <v>1641</v>
      </c>
      <c r="K38" s="73">
        <f>1400+1280+61-1100</f>
        <v>1641</v>
      </c>
      <c r="L38" s="73">
        <v>1141</v>
      </c>
      <c r="M38" s="73">
        <v>2037</v>
      </c>
      <c r="N38" s="73">
        <v>2037</v>
      </c>
      <c r="O38" s="52">
        <f t="shared" si="9"/>
        <v>0</v>
      </c>
      <c r="P38" s="56">
        <f t="shared" si="10"/>
        <v>1</v>
      </c>
    </row>
    <row r="39" ht="17" customHeight="1" spans="1:16">
      <c r="A39" s="58"/>
      <c r="B39" s="48"/>
      <c r="C39" s="49"/>
      <c r="D39" s="49"/>
      <c r="E39" s="49"/>
      <c r="F39" s="49"/>
      <c r="G39" s="52"/>
      <c r="H39" s="53"/>
      <c r="I39" s="77" t="s">
        <v>159</v>
      </c>
      <c r="J39" s="49">
        <f t="shared" ref="J39:N39" si="11">SUM(J40:J45)</f>
        <v>122350</v>
      </c>
      <c r="K39" s="49">
        <f t="shared" si="11"/>
        <v>122350</v>
      </c>
      <c r="L39" s="49">
        <f t="shared" si="11"/>
        <v>126312</v>
      </c>
      <c r="M39" s="49">
        <f t="shared" si="11"/>
        <v>156000</v>
      </c>
      <c r="N39" s="49">
        <f t="shared" si="11"/>
        <v>156000</v>
      </c>
      <c r="O39" s="52">
        <f t="shared" si="9"/>
        <v>0</v>
      </c>
      <c r="P39" s="56">
        <f t="shared" si="10"/>
        <v>1</v>
      </c>
    </row>
    <row r="40" ht="17" customHeight="1" spans="1:16">
      <c r="A40" s="58"/>
      <c r="B40" s="48"/>
      <c r="C40" s="49"/>
      <c r="D40" s="49"/>
      <c r="E40" s="49"/>
      <c r="F40" s="49"/>
      <c r="G40" s="52"/>
      <c r="H40" s="53"/>
      <c r="I40" s="72" t="s">
        <v>160</v>
      </c>
      <c r="J40" s="49"/>
      <c r="K40" s="49"/>
      <c r="L40" s="73"/>
      <c r="M40" s="78"/>
      <c r="N40" s="78"/>
      <c r="O40" s="52"/>
      <c r="P40" s="56"/>
    </row>
    <row r="41" ht="17" customHeight="1" spans="1:16">
      <c r="A41" s="58"/>
      <c r="B41" s="48"/>
      <c r="C41" s="49"/>
      <c r="D41" s="49"/>
      <c r="E41" s="49"/>
      <c r="F41" s="49"/>
      <c r="G41" s="52"/>
      <c r="H41" s="53"/>
      <c r="I41" s="79" t="s">
        <v>161</v>
      </c>
      <c r="J41" s="49">
        <v>24255</v>
      </c>
      <c r="K41" s="73">
        <v>24255</v>
      </c>
      <c r="L41" s="73">
        <v>29133</v>
      </c>
      <c r="M41" s="73">
        <v>26680</v>
      </c>
      <c r="N41" s="73">
        <v>26680</v>
      </c>
      <c r="O41" s="52">
        <f t="shared" si="9"/>
        <v>0</v>
      </c>
      <c r="P41" s="56">
        <f t="shared" si="10"/>
        <v>1</v>
      </c>
    </row>
    <row r="42" ht="17" customHeight="1" spans="1:16">
      <c r="A42" s="59"/>
      <c r="B42" s="48"/>
      <c r="C42" s="49"/>
      <c r="D42" s="49"/>
      <c r="E42" s="49"/>
      <c r="F42" s="49"/>
      <c r="G42" s="52"/>
      <c r="H42" s="53"/>
      <c r="I42" s="72" t="s">
        <v>162</v>
      </c>
      <c r="J42" s="49">
        <v>7079</v>
      </c>
      <c r="K42" s="73">
        <v>7079</v>
      </c>
      <c r="L42" s="73">
        <v>7649</v>
      </c>
      <c r="M42" s="73">
        <v>8680</v>
      </c>
      <c r="N42" s="73">
        <v>8680</v>
      </c>
      <c r="O42" s="52">
        <f t="shared" si="9"/>
        <v>0</v>
      </c>
      <c r="P42" s="56">
        <f t="shared" si="10"/>
        <v>1</v>
      </c>
    </row>
    <row r="43" ht="17" customHeight="1" spans="1:16">
      <c r="A43" s="60"/>
      <c r="B43" s="48"/>
      <c r="C43" s="49"/>
      <c r="D43" s="49"/>
      <c r="E43" s="49"/>
      <c r="F43" s="49"/>
      <c r="G43" s="52"/>
      <c r="H43" s="53"/>
      <c r="I43" s="72" t="s">
        <v>163</v>
      </c>
      <c r="J43" s="49">
        <v>8446</v>
      </c>
      <c r="K43" s="73">
        <v>8446</v>
      </c>
      <c r="L43" s="73">
        <v>12033</v>
      </c>
      <c r="M43" s="73">
        <v>14035</v>
      </c>
      <c r="N43" s="73">
        <v>14035</v>
      </c>
      <c r="O43" s="52">
        <f t="shared" si="9"/>
        <v>0</v>
      </c>
      <c r="P43" s="56">
        <f t="shared" si="10"/>
        <v>1</v>
      </c>
    </row>
    <row r="44" ht="17" customHeight="1" spans="1:16">
      <c r="A44" s="60"/>
      <c r="B44" s="48"/>
      <c r="C44" s="49"/>
      <c r="D44" s="49"/>
      <c r="E44" s="49"/>
      <c r="F44" s="49"/>
      <c r="G44" s="52"/>
      <c r="H44" s="53"/>
      <c r="I44" s="72" t="s">
        <v>164</v>
      </c>
      <c r="J44" s="49">
        <v>82570</v>
      </c>
      <c r="K44" s="73">
        <f>82570</f>
        <v>82570</v>
      </c>
      <c r="L44" s="73">
        <v>77497</v>
      </c>
      <c r="M44" s="73">
        <v>106605</v>
      </c>
      <c r="N44" s="73">
        <v>106605</v>
      </c>
      <c r="O44" s="52">
        <f t="shared" si="9"/>
        <v>0</v>
      </c>
      <c r="P44" s="56">
        <f t="shared" si="10"/>
        <v>1</v>
      </c>
    </row>
    <row r="45" ht="17" customHeight="1" spans="1:16">
      <c r="A45" s="60"/>
      <c r="B45" s="48"/>
      <c r="C45" s="49"/>
      <c r="D45" s="49"/>
      <c r="E45" s="49"/>
      <c r="F45" s="49"/>
      <c r="G45" s="52"/>
      <c r="H45" s="53"/>
      <c r="I45" s="72" t="s">
        <v>165</v>
      </c>
      <c r="J45" s="49"/>
      <c r="K45" s="73"/>
      <c r="L45" s="73"/>
      <c r="M45" s="73"/>
      <c r="N45" s="73"/>
      <c r="O45" s="52"/>
      <c r="P45" s="56"/>
    </row>
    <row r="46" ht="17" customHeight="1" spans="1:16">
      <c r="A46" s="60"/>
      <c r="B46" s="48"/>
      <c r="C46" s="49"/>
      <c r="D46" s="49"/>
      <c r="E46" s="49"/>
      <c r="F46" s="49"/>
      <c r="G46" s="52"/>
      <c r="H46" s="53"/>
      <c r="I46" s="77" t="s">
        <v>166</v>
      </c>
      <c r="J46" s="49">
        <f t="shared" ref="J46:N46" si="12">SUM(J47:J52)</f>
        <v>900</v>
      </c>
      <c r="K46" s="49">
        <f t="shared" si="12"/>
        <v>900</v>
      </c>
      <c r="L46" s="49">
        <f t="shared" si="12"/>
        <v>840</v>
      </c>
      <c r="M46" s="49">
        <f t="shared" si="12"/>
        <v>1045</v>
      </c>
      <c r="N46" s="49">
        <f t="shared" si="12"/>
        <v>1045</v>
      </c>
      <c r="O46" s="52">
        <f t="shared" si="9"/>
        <v>0</v>
      </c>
      <c r="P46" s="56">
        <f t="shared" si="10"/>
        <v>1</v>
      </c>
    </row>
    <row r="47" ht="30" customHeight="1" spans="1:16">
      <c r="A47" s="60"/>
      <c r="B47" s="48"/>
      <c r="C47" s="49"/>
      <c r="D47" s="49"/>
      <c r="E47" s="49"/>
      <c r="F47" s="49"/>
      <c r="G47" s="52"/>
      <c r="H47" s="53"/>
      <c r="I47" s="80" t="s">
        <v>167</v>
      </c>
      <c r="J47" s="49"/>
      <c r="K47" s="49"/>
      <c r="L47" s="49"/>
      <c r="M47" s="49"/>
      <c r="N47" s="49"/>
      <c r="O47" s="49"/>
      <c r="P47" s="53"/>
    </row>
    <row r="48" ht="17" customHeight="1" spans="1:16">
      <c r="A48" s="60"/>
      <c r="B48" s="48"/>
      <c r="C48" s="49"/>
      <c r="D48" s="49"/>
      <c r="E48" s="49"/>
      <c r="F48" s="49"/>
      <c r="G48" s="52"/>
      <c r="H48" s="53"/>
      <c r="I48" s="79" t="s">
        <v>168</v>
      </c>
      <c r="J48" s="49"/>
      <c r="K48" s="49"/>
      <c r="L48" s="49">
        <v>94</v>
      </c>
      <c r="M48" s="49"/>
      <c r="N48" s="49"/>
      <c r="O48" s="49"/>
      <c r="P48" s="53"/>
    </row>
    <row r="49" ht="17" customHeight="1" spans="1:16">
      <c r="A49" s="60"/>
      <c r="B49" s="48"/>
      <c r="C49" s="49"/>
      <c r="D49" s="49"/>
      <c r="E49" s="49"/>
      <c r="F49" s="49"/>
      <c r="G49" s="52"/>
      <c r="H49" s="53"/>
      <c r="I49" s="79" t="s">
        <v>169</v>
      </c>
      <c r="J49" s="49"/>
      <c r="K49" s="49"/>
      <c r="L49" s="49">
        <v>110</v>
      </c>
      <c r="M49" s="49"/>
      <c r="N49" s="49"/>
      <c r="O49" s="49"/>
      <c r="P49" s="53"/>
    </row>
    <row r="50" ht="17" customHeight="1" spans="1:16">
      <c r="A50" s="60"/>
      <c r="B50" s="48"/>
      <c r="C50" s="49"/>
      <c r="D50" s="49"/>
      <c r="E50" s="49"/>
      <c r="F50" s="49"/>
      <c r="G50" s="52"/>
      <c r="H50" s="53"/>
      <c r="I50" s="72" t="s">
        <v>170</v>
      </c>
      <c r="J50" s="49"/>
      <c r="K50" s="49"/>
      <c r="L50" s="49">
        <v>1</v>
      </c>
      <c r="M50" s="49"/>
      <c r="N50" s="49"/>
      <c r="O50" s="49"/>
      <c r="P50" s="53"/>
    </row>
    <row r="51" ht="17" customHeight="1" spans="1:16">
      <c r="A51" s="60"/>
      <c r="B51" s="48"/>
      <c r="C51" s="49"/>
      <c r="D51" s="49"/>
      <c r="E51" s="49"/>
      <c r="F51" s="49"/>
      <c r="G51" s="52"/>
      <c r="H51" s="53"/>
      <c r="I51" s="72" t="s">
        <v>171</v>
      </c>
      <c r="J51" s="49">
        <v>900</v>
      </c>
      <c r="K51" s="49">
        <v>900</v>
      </c>
      <c r="L51" s="49">
        <v>635</v>
      </c>
      <c r="M51" s="73">
        <v>1045</v>
      </c>
      <c r="N51" s="73">
        <v>1045</v>
      </c>
      <c r="O51" s="52">
        <f>N51-M51</f>
        <v>0</v>
      </c>
      <c r="P51" s="56">
        <f>N51/M51</f>
        <v>1</v>
      </c>
    </row>
    <row r="52" ht="17" customHeight="1" spans="1:16">
      <c r="A52" s="60"/>
      <c r="B52" s="48"/>
      <c r="C52" s="49"/>
      <c r="D52" s="49"/>
      <c r="E52" s="49"/>
      <c r="F52" s="49"/>
      <c r="G52" s="52"/>
      <c r="H52" s="53"/>
      <c r="I52" s="72" t="s">
        <v>172</v>
      </c>
      <c r="J52" s="49"/>
      <c r="K52" s="49"/>
      <c r="L52" s="49"/>
      <c r="M52" s="49"/>
      <c r="N52" s="49"/>
      <c r="O52" s="49"/>
      <c r="P52" s="53"/>
    </row>
    <row r="53" ht="18" hidden="1" customHeight="1" spans="1:16">
      <c r="A53" s="48"/>
      <c r="B53" s="48"/>
      <c r="C53" s="49"/>
      <c r="D53" s="49"/>
      <c r="E53" s="49"/>
      <c r="F53" s="49"/>
      <c r="G53" s="52"/>
      <c r="H53" s="53"/>
      <c r="I53" s="72" t="s">
        <v>173</v>
      </c>
      <c r="J53" s="49">
        <f t="shared" ref="J53:N53" si="13">SUM(J54:J55)</f>
        <v>0</v>
      </c>
      <c r="K53" s="49">
        <f t="shared" si="13"/>
        <v>0</v>
      </c>
      <c r="L53" s="49">
        <f t="shared" si="13"/>
        <v>0</v>
      </c>
      <c r="M53" s="49">
        <f t="shared" si="13"/>
        <v>0</v>
      </c>
      <c r="N53" s="49">
        <f t="shared" si="13"/>
        <v>0</v>
      </c>
      <c r="O53" s="49"/>
      <c r="P53" s="53"/>
    </row>
    <row r="54" ht="18" hidden="1" customHeight="1" spans="1:16">
      <c r="A54" s="48"/>
      <c r="B54" s="48"/>
      <c r="C54" s="49"/>
      <c r="D54" s="49"/>
      <c r="E54" s="49"/>
      <c r="F54" s="49"/>
      <c r="G54" s="52"/>
      <c r="H54" s="53"/>
      <c r="I54" s="72" t="s">
        <v>174</v>
      </c>
      <c r="J54" s="49"/>
      <c r="K54" s="49"/>
      <c r="L54" s="49"/>
      <c r="M54" s="49"/>
      <c r="N54" s="49"/>
      <c r="O54" s="49"/>
      <c r="P54" s="53"/>
    </row>
    <row r="55" ht="18" hidden="1" customHeight="1" spans="1:16">
      <c r="A55" s="48"/>
      <c r="B55" s="48"/>
      <c r="C55" s="49"/>
      <c r="D55" s="49"/>
      <c r="E55" s="49"/>
      <c r="F55" s="49"/>
      <c r="G55" s="52"/>
      <c r="H55" s="53"/>
      <c r="I55" s="72" t="s">
        <v>175</v>
      </c>
      <c r="J55" s="49"/>
      <c r="K55" s="49"/>
      <c r="L55" s="49"/>
      <c r="M55" s="49"/>
      <c r="N55" s="49"/>
      <c r="O55" s="49"/>
      <c r="P55" s="53"/>
    </row>
    <row r="56" ht="10" customHeight="1" spans="1:16">
      <c r="A56" s="48"/>
      <c r="B56" s="48"/>
      <c r="C56" s="49"/>
      <c r="D56" s="49"/>
      <c r="E56" s="49"/>
      <c r="F56" s="49"/>
      <c r="G56" s="52"/>
      <c r="H56" s="53"/>
      <c r="I56" s="48"/>
      <c r="J56" s="49"/>
      <c r="K56" s="49"/>
      <c r="L56" s="49"/>
      <c r="M56" s="49"/>
      <c r="N56" s="49"/>
      <c r="O56" s="49"/>
      <c r="P56" s="53"/>
    </row>
    <row r="57" s="36" customFormat="1" ht="17" customHeight="1" spans="1:16">
      <c r="A57" s="61" t="s">
        <v>176</v>
      </c>
      <c r="B57" s="43">
        <f t="shared" ref="B57:F57" si="14">SUM(B58:B63)</f>
        <v>844200</v>
      </c>
      <c r="C57" s="44">
        <f t="shared" si="14"/>
        <v>1006400</v>
      </c>
      <c r="D57" s="44">
        <f t="shared" si="14"/>
        <v>1006400</v>
      </c>
      <c r="E57" s="44">
        <f t="shared" si="14"/>
        <v>965500</v>
      </c>
      <c r="F57" s="44">
        <f t="shared" si="14"/>
        <v>1300500</v>
      </c>
      <c r="G57" s="45">
        <f t="shared" ref="G57:G63" si="15">F57-E57</f>
        <v>335000</v>
      </c>
      <c r="H57" s="46">
        <f t="shared" ref="H57:H63" si="16">F57/E57</f>
        <v>1.34697048161574</v>
      </c>
      <c r="I57" s="61" t="s">
        <v>177</v>
      </c>
      <c r="J57" s="44">
        <f t="shared" ref="G57:N57" si="17">SUM(J58:J63)</f>
        <v>243465</v>
      </c>
      <c r="K57" s="44">
        <f t="shared" si="17"/>
        <v>243465</v>
      </c>
      <c r="L57" s="44">
        <f t="shared" si="17"/>
        <v>243465</v>
      </c>
      <c r="M57" s="44">
        <f t="shared" si="17"/>
        <v>302542</v>
      </c>
      <c r="N57" s="44">
        <f t="shared" si="17"/>
        <v>337542</v>
      </c>
      <c r="O57" s="45">
        <f>N57-M57</f>
        <v>35000</v>
      </c>
      <c r="P57" s="46">
        <f>N57/M57</f>
        <v>1.1156864170925</v>
      </c>
    </row>
    <row r="58" ht="17" customHeight="1" spans="1:16">
      <c r="A58" s="62" t="s">
        <v>178</v>
      </c>
      <c r="B58" s="48"/>
      <c r="C58" s="63"/>
      <c r="D58" s="57"/>
      <c r="E58" s="63"/>
      <c r="F58" s="63"/>
      <c r="G58" s="52"/>
      <c r="H58" s="53"/>
      <c r="I58" s="81" t="s">
        <v>179</v>
      </c>
      <c r="J58" s="49"/>
      <c r="K58" s="49"/>
      <c r="L58" s="49"/>
      <c r="M58" s="49"/>
      <c r="N58" s="49"/>
      <c r="O58" s="49"/>
      <c r="P58" s="53"/>
    </row>
    <row r="59" ht="17" customHeight="1" spans="1:16">
      <c r="A59" s="62" t="s">
        <v>180</v>
      </c>
      <c r="B59" s="48"/>
      <c r="C59" s="63"/>
      <c r="D59" s="57"/>
      <c r="E59" s="63"/>
      <c r="F59" s="63"/>
      <c r="G59" s="52"/>
      <c r="H59" s="53"/>
      <c r="I59" s="81" t="s">
        <v>181</v>
      </c>
      <c r="J59" s="49">
        <v>123465</v>
      </c>
      <c r="K59" s="82">
        <v>123465</v>
      </c>
      <c r="L59" s="82">
        <v>123465</v>
      </c>
      <c r="M59" s="73">
        <v>138542</v>
      </c>
      <c r="N59" s="73">
        <v>138542</v>
      </c>
      <c r="O59" s="52">
        <f t="shared" ref="O59:O62" si="18">N59-M59</f>
        <v>0</v>
      </c>
      <c r="P59" s="56">
        <f t="shared" ref="P59:P62" si="19">N59/M59</f>
        <v>1</v>
      </c>
    </row>
    <row r="60" ht="17" customHeight="1" spans="1:16">
      <c r="A60" s="64" t="s">
        <v>182</v>
      </c>
      <c r="B60" s="48"/>
      <c r="C60" s="63"/>
      <c r="D60" s="57"/>
      <c r="E60" s="63"/>
      <c r="F60" s="63"/>
      <c r="G60" s="52"/>
      <c r="H60" s="53"/>
      <c r="I60" s="81" t="s">
        <v>183</v>
      </c>
      <c r="J60" s="49">
        <v>120000</v>
      </c>
      <c r="K60" s="82">
        <v>120000</v>
      </c>
      <c r="L60" s="82">
        <v>120000</v>
      </c>
      <c r="M60" s="73">
        <v>70000</v>
      </c>
      <c r="N60" s="73">
        <v>70000</v>
      </c>
      <c r="O60" s="52">
        <f t="shared" si="18"/>
        <v>0</v>
      </c>
      <c r="P60" s="56">
        <f t="shared" si="19"/>
        <v>1</v>
      </c>
    </row>
    <row r="61" ht="17" customHeight="1" spans="1:16">
      <c r="A61" s="64" t="s">
        <v>184</v>
      </c>
      <c r="B61" s="48">
        <v>34000</v>
      </c>
      <c r="C61" s="63">
        <v>34000</v>
      </c>
      <c r="D61" s="63">
        <v>34000</v>
      </c>
      <c r="E61" s="65">
        <f>24600-4600</f>
        <v>20000</v>
      </c>
      <c r="F61" s="65">
        <v>20000</v>
      </c>
      <c r="G61" s="52">
        <f>F61-E61</f>
        <v>0</v>
      </c>
      <c r="H61" s="56"/>
      <c r="I61" s="81" t="s">
        <v>185</v>
      </c>
      <c r="J61" s="49"/>
      <c r="K61" s="49"/>
      <c r="L61" s="57"/>
      <c r="M61" s="73">
        <v>70000</v>
      </c>
      <c r="N61" s="73">
        <v>70000</v>
      </c>
      <c r="O61" s="52">
        <f t="shared" si="18"/>
        <v>0</v>
      </c>
      <c r="P61" s="56">
        <f t="shared" ref="P61:P66" si="20">N61/M61</f>
        <v>1</v>
      </c>
    </row>
    <row r="62" ht="17" customHeight="1" spans="1:16">
      <c r="A62" s="66" t="s">
        <v>186</v>
      </c>
      <c r="B62" s="48">
        <v>590200</v>
      </c>
      <c r="C62" s="67">
        <v>752400</v>
      </c>
      <c r="D62" s="67">
        <v>752400</v>
      </c>
      <c r="E62" s="65">
        <f>691900+4600</f>
        <v>696500</v>
      </c>
      <c r="F62" s="65">
        <f>696500+300000</f>
        <v>996500</v>
      </c>
      <c r="G62" s="52">
        <f t="shared" si="15"/>
        <v>300000</v>
      </c>
      <c r="H62" s="56">
        <f t="shared" si="16"/>
        <v>1.43072505384063</v>
      </c>
      <c r="I62" s="81" t="s">
        <v>187</v>
      </c>
      <c r="J62" s="49"/>
      <c r="K62" s="49"/>
      <c r="L62" s="57"/>
      <c r="M62" s="73">
        <v>24000</v>
      </c>
      <c r="N62" s="73">
        <f>24000+35000</f>
        <v>59000</v>
      </c>
      <c r="O62" s="52">
        <f t="shared" si="18"/>
        <v>35000</v>
      </c>
      <c r="P62" s="56">
        <f t="shared" si="19"/>
        <v>2.45833333333333</v>
      </c>
    </row>
    <row r="63" ht="17" customHeight="1" spans="1:16">
      <c r="A63" s="48" t="s">
        <v>188</v>
      </c>
      <c r="B63" s="48">
        <v>220000</v>
      </c>
      <c r="C63" s="63">
        <v>220000</v>
      </c>
      <c r="D63" s="63">
        <v>220000</v>
      </c>
      <c r="E63" s="63">
        <v>249000</v>
      </c>
      <c r="F63" s="63">
        <f>249000+35000</f>
        <v>284000</v>
      </c>
      <c r="G63" s="52">
        <f t="shared" si="15"/>
        <v>35000</v>
      </c>
      <c r="H63" s="56">
        <f t="shared" si="16"/>
        <v>1.14056224899598</v>
      </c>
      <c r="I63" s="48" t="s">
        <v>189</v>
      </c>
      <c r="J63" s="49"/>
      <c r="K63" s="49"/>
      <c r="L63" s="49"/>
      <c r="M63" s="49"/>
      <c r="N63" s="49"/>
      <c r="O63" s="49"/>
      <c r="P63" s="53"/>
    </row>
    <row r="64" ht="10" customHeight="1" spans="1:16">
      <c r="A64" s="48"/>
      <c r="B64" s="48"/>
      <c r="C64" s="49"/>
      <c r="D64" s="49"/>
      <c r="E64" s="49"/>
      <c r="F64" s="49"/>
      <c r="G64" s="52"/>
      <c r="H64" s="53"/>
      <c r="I64" s="48"/>
      <c r="J64" s="49"/>
      <c r="K64" s="49"/>
      <c r="L64" s="49"/>
      <c r="M64" s="49"/>
      <c r="N64" s="49"/>
      <c r="O64" s="49"/>
      <c r="P64" s="53"/>
    </row>
    <row r="65" s="36" customFormat="1" ht="17" customHeight="1" spans="1:16">
      <c r="A65" s="42" t="s">
        <v>72</v>
      </c>
      <c r="B65" s="43">
        <f t="shared" ref="B65:F65" si="21">SUM(B66:B70)</f>
        <v>20889</v>
      </c>
      <c r="C65" s="44">
        <f t="shared" si="21"/>
        <v>20889</v>
      </c>
      <c r="D65" s="44">
        <f t="shared" si="21"/>
        <v>138244</v>
      </c>
      <c r="E65" s="44">
        <f t="shared" si="21"/>
        <v>185637</v>
      </c>
      <c r="F65" s="44">
        <f t="shared" si="21"/>
        <v>185637</v>
      </c>
      <c r="G65" s="45">
        <f t="shared" ref="G65:G69" si="22">F65-E65</f>
        <v>0</v>
      </c>
      <c r="H65" s="46">
        <f t="shared" ref="H65:H69" si="23">F65/E65</f>
        <v>1</v>
      </c>
      <c r="I65" s="84" t="s">
        <v>190</v>
      </c>
      <c r="J65" s="44">
        <f t="shared" ref="J65:N65" si="24">J66+J67+J68+J69+J70+J75</f>
        <v>194524</v>
      </c>
      <c r="K65" s="44">
        <f t="shared" si="24"/>
        <v>307894</v>
      </c>
      <c r="L65" s="44">
        <f t="shared" si="24"/>
        <v>585050</v>
      </c>
      <c r="M65" s="44">
        <f t="shared" si="24"/>
        <v>411033</v>
      </c>
      <c r="N65" s="44">
        <f t="shared" si="24"/>
        <v>522391</v>
      </c>
      <c r="O65" s="45">
        <f t="shared" ref="O65:O70" si="25">N65-M65</f>
        <v>111358</v>
      </c>
      <c r="P65" s="46">
        <f t="shared" si="20"/>
        <v>1.27092228604516</v>
      </c>
    </row>
    <row r="66" ht="17" customHeight="1" spans="1:16">
      <c r="A66" s="83" t="s">
        <v>191</v>
      </c>
      <c r="B66" s="48">
        <v>5885</v>
      </c>
      <c r="C66" s="49">
        <v>5885</v>
      </c>
      <c r="D66" s="50">
        <v>70497</v>
      </c>
      <c r="E66" s="50">
        <v>2266</v>
      </c>
      <c r="F66" s="50">
        <v>2266</v>
      </c>
      <c r="G66" s="52">
        <f t="shared" si="22"/>
        <v>0</v>
      </c>
      <c r="H66" s="56">
        <f t="shared" si="23"/>
        <v>1</v>
      </c>
      <c r="I66" s="77" t="s">
        <v>236</v>
      </c>
      <c r="J66" s="49">
        <v>123100</v>
      </c>
      <c r="K66" s="63">
        <f>122000+1100</f>
        <v>123100</v>
      </c>
      <c r="L66" s="85">
        <v>214215</v>
      </c>
      <c r="M66" s="63">
        <v>137000</v>
      </c>
      <c r="N66" s="63">
        <v>137000</v>
      </c>
      <c r="O66" s="52">
        <f t="shared" si="25"/>
        <v>0</v>
      </c>
      <c r="P66" s="56">
        <f t="shared" si="20"/>
        <v>1</v>
      </c>
    </row>
    <row r="67" ht="17" customHeight="1" spans="1:16">
      <c r="A67" s="83" t="s">
        <v>193</v>
      </c>
      <c r="B67" s="48"/>
      <c r="C67" s="49"/>
      <c r="D67" s="57"/>
      <c r="E67" s="57"/>
      <c r="F67" s="57"/>
      <c r="G67" s="52"/>
      <c r="H67" s="53"/>
      <c r="I67" s="77" t="s">
        <v>237</v>
      </c>
      <c r="J67" s="49"/>
      <c r="K67" s="49"/>
      <c r="L67" s="49"/>
      <c r="M67" s="49"/>
      <c r="N67" s="49"/>
      <c r="O67" s="49"/>
      <c r="P67" s="53"/>
    </row>
    <row r="68" ht="17" customHeight="1" spans="1:16">
      <c r="A68" s="83" t="s">
        <v>238</v>
      </c>
      <c r="B68" s="48"/>
      <c r="C68" s="49"/>
      <c r="D68" s="57"/>
      <c r="E68" s="57"/>
      <c r="F68" s="57"/>
      <c r="G68" s="52"/>
      <c r="H68" s="53"/>
      <c r="I68" s="77" t="s">
        <v>239</v>
      </c>
      <c r="J68" s="49"/>
      <c r="K68" s="49"/>
      <c r="L68" s="49"/>
      <c r="M68" s="49"/>
      <c r="N68" s="49"/>
      <c r="O68" s="49"/>
      <c r="P68" s="53"/>
    </row>
    <row r="69" ht="17" customHeight="1" spans="1:16">
      <c r="A69" s="83" t="s">
        <v>240</v>
      </c>
      <c r="B69" s="48">
        <v>15004</v>
      </c>
      <c r="C69" s="63">
        <v>15004</v>
      </c>
      <c r="D69" s="50">
        <v>67747</v>
      </c>
      <c r="E69" s="57">
        <v>183371</v>
      </c>
      <c r="F69" s="57">
        <v>183371</v>
      </c>
      <c r="G69" s="52">
        <f t="shared" si="22"/>
        <v>0</v>
      </c>
      <c r="H69" s="56">
        <f t="shared" si="23"/>
        <v>1</v>
      </c>
      <c r="I69" s="77" t="s">
        <v>224</v>
      </c>
      <c r="J69" s="49"/>
      <c r="K69" s="49"/>
      <c r="L69" s="49">
        <v>15739</v>
      </c>
      <c r="M69" s="49"/>
      <c r="N69" s="49"/>
      <c r="O69" s="49"/>
      <c r="P69" s="53"/>
    </row>
    <row r="70" ht="17" customHeight="1" spans="1:16">
      <c r="A70" s="83" t="s">
        <v>241</v>
      </c>
      <c r="B70" s="48"/>
      <c r="C70" s="49"/>
      <c r="D70" s="49"/>
      <c r="E70" s="49"/>
      <c r="F70" s="49"/>
      <c r="G70" s="52"/>
      <c r="H70" s="53"/>
      <c r="I70" s="77" t="s">
        <v>242</v>
      </c>
      <c r="J70" s="49">
        <f t="shared" ref="J70:N70" si="26">SUM(J71:J74)</f>
        <v>66500</v>
      </c>
      <c r="K70" s="49">
        <f t="shared" si="26"/>
        <v>179870</v>
      </c>
      <c r="L70" s="49">
        <f t="shared" si="26"/>
        <v>171725</v>
      </c>
      <c r="M70" s="49">
        <f t="shared" si="26"/>
        <v>267294</v>
      </c>
      <c r="N70" s="49">
        <f t="shared" si="26"/>
        <v>378652</v>
      </c>
      <c r="O70" s="52">
        <f t="shared" si="25"/>
        <v>111358</v>
      </c>
      <c r="P70" s="56"/>
    </row>
    <row r="71" ht="17" customHeight="1" spans="1:16">
      <c r="A71" s="48"/>
      <c r="B71" s="48"/>
      <c r="C71" s="49"/>
      <c r="D71" s="49"/>
      <c r="E71" s="49"/>
      <c r="F71" s="49"/>
      <c r="G71" s="52"/>
      <c r="H71" s="53"/>
      <c r="I71" s="86" t="s">
        <v>243</v>
      </c>
      <c r="J71" s="49"/>
      <c r="K71" s="63"/>
      <c r="L71" s="63"/>
      <c r="M71" s="63"/>
      <c r="N71" s="63"/>
      <c r="O71" s="49"/>
      <c r="P71" s="53"/>
    </row>
    <row r="72" ht="17" customHeight="1" spans="1:16">
      <c r="A72" s="48"/>
      <c r="B72" s="48"/>
      <c r="C72" s="49"/>
      <c r="D72" s="49"/>
      <c r="E72" s="49"/>
      <c r="F72" s="49"/>
      <c r="G72" s="52"/>
      <c r="H72" s="53"/>
      <c r="I72" s="86" t="s">
        <v>244</v>
      </c>
      <c r="J72" s="49"/>
      <c r="K72" s="63"/>
      <c r="L72" s="63"/>
      <c r="M72" s="63"/>
      <c r="N72" s="63"/>
      <c r="O72" s="49"/>
      <c r="P72" s="53"/>
    </row>
    <row r="73" ht="17" customHeight="1" spans="1:16">
      <c r="A73" s="48"/>
      <c r="B73" s="48"/>
      <c r="C73" s="49"/>
      <c r="D73" s="49"/>
      <c r="E73" s="49"/>
      <c r="F73" s="49"/>
      <c r="G73" s="52"/>
      <c r="H73" s="53"/>
      <c r="I73" s="86" t="s">
        <v>245</v>
      </c>
      <c r="J73" s="49">
        <v>20000</v>
      </c>
      <c r="K73" s="63">
        <f>20000+28000+1000</f>
        <v>49000</v>
      </c>
      <c r="L73" s="63">
        <v>49000</v>
      </c>
      <c r="M73" s="63">
        <f>4600-4600</f>
        <v>0</v>
      </c>
      <c r="N73" s="63">
        <f>4600-4600</f>
        <v>0</v>
      </c>
      <c r="O73" s="52">
        <f t="shared" ref="O73:O76" si="27">N73-M73</f>
        <v>0</v>
      </c>
      <c r="P73" s="56"/>
    </row>
    <row r="74" ht="17" customHeight="1" spans="1:16">
      <c r="A74" s="48"/>
      <c r="B74" s="48"/>
      <c r="C74" s="49"/>
      <c r="D74" s="49"/>
      <c r="E74" s="49"/>
      <c r="F74" s="49"/>
      <c r="G74" s="52"/>
      <c r="H74" s="53"/>
      <c r="I74" s="86" t="s">
        <v>246</v>
      </c>
      <c r="J74" s="49">
        <v>46500</v>
      </c>
      <c r="K74" s="63">
        <f>46500+5500+78870</f>
        <v>130870</v>
      </c>
      <c r="L74" s="63">
        <v>122725</v>
      </c>
      <c r="M74" s="63">
        <f>262694+4600</f>
        <v>267294</v>
      </c>
      <c r="N74" s="63">
        <f>M74+111358</f>
        <v>378652</v>
      </c>
      <c r="O74" s="52">
        <f t="shared" si="27"/>
        <v>111358</v>
      </c>
      <c r="P74" s="56"/>
    </row>
    <row r="75" ht="17" customHeight="1" spans="1:16">
      <c r="A75" s="48"/>
      <c r="B75" s="48"/>
      <c r="C75" s="49"/>
      <c r="D75" s="49"/>
      <c r="E75" s="49"/>
      <c r="F75" s="49"/>
      <c r="G75" s="52"/>
      <c r="H75" s="53"/>
      <c r="I75" s="77" t="s">
        <v>247</v>
      </c>
      <c r="J75" s="49">
        <v>4924</v>
      </c>
      <c r="K75" s="63">
        <v>4924</v>
      </c>
      <c r="L75" s="63">
        <v>183371</v>
      </c>
      <c r="M75" s="78">
        <v>6739</v>
      </c>
      <c r="N75" s="78">
        <v>6739</v>
      </c>
      <c r="O75" s="52">
        <f t="shared" si="27"/>
        <v>0</v>
      </c>
      <c r="P75" s="56">
        <f>N75/M75</f>
        <v>1</v>
      </c>
    </row>
    <row r="76" ht="17" customHeight="1" spans="1:16">
      <c r="A76" s="42" t="s">
        <v>109</v>
      </c>
      <c r="B76" s="48">
        <f t="shared" ref="B76:F76" si="28">B7+B57+B65</f>
        <v>2558549</v>
      </c>
      <c r="C76" s="49">
        <f t="shared" si="28"/>
        <v>2720749</v>
      </c>
      <c r="D76" s="49">
        <f t="shared" si="28"/>
        <v>2678005</v>
      </c>
      <c r="E76" s="49">
        <f t="shared" si="28"/>
        <v>2844597</v>
      </c>
      <c r="F76" s="49">
        <f t="shared" si="28"/>
        <v>3179597</v>
      </c>
      <c r="G76" s="52">
        <f>F76-E76</f>
        <v>335000</v>
      </c>
      <c r="H76" s="56">
        <f>F76/E76</f>
        <v>1.11776712131806</v>
      </c>
      <c r="I76" s="42" t="s">
        <v>110</v>
      </c>
      <c r="J76" s="49">
        <f t="shared" ref="J76:N76" si="29">J7++J57+J65</f>
        <v>2558549</v>
      </c>
      <c r="K76" s="49">
        <f t="shared" si="29"/>
        <v>2720749</v>
      </c>
      <c r="L76" s="49">
        <f t="shared" si="29"/>
        <v>2678005</v>
      </c>
      <c r="M76" s="49">
        <f t="shared" si="29"/>
        <v>2844597</v>
      </c>
      <c r="N76" s="49">
        <f t="shared" si="29"/>
        <v>3179597</v>
      </c>
      <c r="O76" s="52">
        <f t="shared" si="27"/>
        <v>335000</v>
      </c>
      <c r="P76" s="56">
        <f>N76/M76</f>
        <v>1.11776712131806</v>
      </c>
    </row>
  </sheetData>
  <mergeCells count="20">
    <mergeCell ref="A2:P2"/>
    <mergeCell ref="O3:P3"/>
    <mergeCell ref="A4:H4"/>
    <mergeCell ref="I4:P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s>
  <conditionalFormatting sqref="A58:A59 I58:I62">
    <cfRule type="expression" dxfId="1" priority="1" stopIfTrue="1">
      <formula>"len($A:$A)=3"</formula>
    </cfRule>
  </conditionalFormatting>
  <printOptions horizontalCentered="1"/>
  <pageMargins left="0.55" right="0.55" top="0.511805555555556" bottom="0.511805555555556" header="0.393055555555556" footer="0.196527777777778"/>
  <pageSetup paperSize="9" scale="64" firstPageNumber="14" fitToHeight="0" orientation="landscape" useFirstPageNumber="1" horizontalDpi="600"/>
  <headerFooter>
    <oddFooter>&amp;C&amp;22—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90"/>
  <sheetViews>
    <sheetView zoomScale="55" zoomScaleNormal="55" topLeftCell="A8" workbookViewId="0">
      <selection activeCell="D8" sqref="D8"/>
    </sheetView>
  </sheetViews>
  <sheetFormatPr defaultColWidth="10" defaultRowHeight="20.25" outlineLevelCol="6"/>
  <cols>
    <col min="1" max="1" width="9.3" style="3" customWidth="1"/>
    <col min="2" max="2" width="20.8083333333333" style="3" customWidth="1"/>
    <col min="3" max="3" width="68.2833333333333" style="3" customWidth="1"/>
    <col min="4" max="4" width="54.7916666666667" style="3" customWidth="1"/>
    <col min="5" max="5" width="30.3" style="4" customWidth="1"/>
    <col min="6" max="6" width="19.1916666666667" style="4" customWidth="1"/>
    <col min="7" max="7" width="12.9166666666667" style="1" customWidth="1"/>
    <col min="8" max="8" width="10" style="1"/>
    <col min="9" max="9" width="11.675" style="1"/>
    <col min="10" max="16368" width="10" style="1"/>
    <col min="16369" max="16384" width="10" style="5"/>
  </cols>
  <sheetData>
    <row r="1" spans="1:1">
      <c r="A1" s="3" t="s">
        <v>248</v>
      </c>
    </row>
    <row r="2" s="1" customFormat="1" ht="61" customHeight="1" spans="1:7">
      <c r="A2" s="6" t="s">
        <v>249</v>
      </c>
      <c r="B2" s="6"/>
      <c r="C2" s="6"/>
      <c r="D2" s="6"/>
      <c r="E2" s="6"/>
      <c r="F2" s="6"/>
      <c r="G2" s="6"/>
    </row>
    <row r="3" s="1" customFormat="1" ht="38" customHeight="1" spans="1:7">
      <c r="A3" s="7"/>
      <c r="B3" s="7"/>
      <c r="C3" s="7"/>
      <c r="D3" s="7"/>
      <c r="E3" s="8" t="s">
        <v>250</v>
      </c>
      <c r="F3" s="8"/>
      <c r="G3" s="8"/>
    </row>
    <row r="4" s="1" customFormat="1" ht="55" customHeight="1" spans="1:7">
      <c r="A4" s="9" t="s">
        <v>251</v>
      </c>
      <c r="B4" s="9" t="s">
        <v>252</v>
      </c>
      <c r="C4" s="10" t="s">
        <v>253</v>
      </c>
      <c r="D4" s="9" t="s">
        <v>254</v>
      </c>
      <c r="E4" s="11" t="s">
        <v>255</v>
      </c>
      <c r="F4" s="12" t="s">
        <v>256</v>
      </c>
      <c r="G4" s="9" t="s">
        <v>257</v>
      </c>
    </row>
    <row r="5" s="1" customFormat="1" ht="49" customHeight="1" spans="1:7">
      <c r="A5" s="9"/>
      <c r="B5" s="25" t="s">
        <v>258</v>
      </c>
      <c r="C5" s="26"/>
      <c r="D5" s="9"/>
      <c r="E5" s="11"/>
      <c r="F5" s="12">
        <f>F6+F54</f>
        <v>300000</v>
      </c>
      <c r="G5" s="9"/>
    </row>
    <row r="6" s="23" customFormat="1" ht="53" customHeight="1" spans="1:7">
      <c r="A6" s="27"/>
      <c r="B6" s="28" t="s">
        <v>259</v>
      </c>
      <c r="C6" s="29"/>
      <c r="D6" s="30"/>
      <c r="E6" s="31"/>
      <c r="F6" s="31">
        <f>SUM(F7:F53)</f>
        <v>196100</v>
      </c>
      <c r="G6" s="30"/>
    </row>
    <row r="7" s="2" customFormat="1" ht="53" customHeight="1" spans="1:7">
      <c r="A7" s="15">
        <v>1</v>
      </c>
      <c r="B7" s="15" t="s">
        <v>260</v>
      </c>
      <c r="C7" s="15" t="s">
        <v>261</v>
      </c>
      <c r="D7" s="15" t="s">
        <v>262</v>
      </c>
      <c r="E7" s="18" t="s">
        <v>263</v>
      </c>
      <c r="F7" s="32">
        <v>25000</v>
      </c>
      <c r="G7" s="15"/>
    </row>
    <row r="8" s="2" customFormat="1" ht="53" customHeight="1" spans="1:7">
      <c r="A8" s="15">
        <v>2</v>
      </c>
      <c r="B8" s="15" t="s">
        <v>260</v>
      </c>
      <c r="C8" s="15" t="s">
        <v>264</v>
      </c>
      <c r="D8" s="15" t="s">
        <v>265</v>
      </c>
      <c r="E8" s="18" t="s">
        <v>263</v>
      </c>
      <c r="F8" s="32">
        <v>13400</v>
      </c>
      <c r="G8" s="15"/>
    </row>
    <row r="9" s="2" customFormat="1" ht="53" customHeight="1" spans="1:7">
      <c r="A9" s="15">
        <v>3</v>
      </c>
      <c r="B9" s="15" t="s">
        <v>260</v>
      </c>
      <c r="C9" s="15" t="s">
        <v>266</v>
      </c>
      <c r="D9" s="15" t="s">
        <v>267</v>
      </c>
      <c r="E9" s="18" t="s">
        <v>263</v>
      </c>
      <c r="F9" s="32">
        <v>9000</v>
      </c>
      <c r="G9" s="15"/>
    </row>
    <row r="10" s="2" customFormat="1" ht="53" customHeight="1" spans="1:7">
      <c r="A10" s="15">
        <v>4</v>
      </c>
      <c r="B10" s="15" t="s">
        <v>260</v>
      </c>
      <c r="C10" s="15" t="s">
        <v>268</v>
      </c>
      <c r="D10" s="15" t="s">
        <v>267</v>
      </c>
      <c r="E10" s="18" t="s">
        <v>263</v>
      </c>
      <c r="F10" s="32">
        <v>10000</v>
      </c>
      <c r="G10" s="15"/>
    </row>
    <row r="11" s="2" customFormat="1" ht="53" customHeight="1" spans="1:7">
      <c r="A11" s="15">
        <v>5</v>
      </c>
      <c r="B11" s="15" t="s">
        <v>260</v>
      </c>
      <c r="C11" s="15" t="s">
        <v>269</v>
      </c>
      <c r="D11" s="15" t="s">
        <v>262</v>
      </c>
      <c r="E11" s="18" t="s">
        <v>263</v>
      </c>
      <c r="F11" s="32">
        <v>10000</v>
      </c>
      <c r="G11" s="15"/>
    </row>
    <row r="12" s="2" customFormat="1" ht="53" customHeight="1" spans="1:7">
      <c r="A12" s="15">
        <v>6</v>
      </c>
      <c r="B12" s="15" t="s">
        <v>260</v>
      </c>
      <c r="C12" s="15" t="s">
        <v>270</v>
      </c>
      <c r="D12" s="15" t="s">
        <v>262</v>
      </c>
      <c r="E12" s="18" t="s">
        <v>263</v>
      </c>
      <c r="F12" s="32">
        <v>13000</v>
      </c>
      <c r="G12" s="15"/>
    </row>
    <row r="13" s="2" customFormat="1" ht="53" customHeight="1" spans="1:7">
      <c r="A13" s="15">
        <v>7</v>
      </c>
      <c r="B13" s="15" t="s">
        <v>260</v>
      </c>
      <c r="C13" s="15" t="s">
        <v>271</v>
      </c>
      <c r="D13" s="15" t="s">
        <v>272</v>
      </c>
      <c r="E13" s="18" t="s">
        <v>263</v>
      </c>
      <c r="F13" s="32">
        <v>10000</v>
      </c>
      <c r="G13" s="15"/>
    </row>
    <row r="14" s="2" customFormat="1" ht="53" customHeight="1" spans="1:7">
      <c r="A14" s="15">
        <v>8</v>
      </c>
      <c r="B14" s="15" t="s">
        <v>260</v>
      </c>
      <c r="C14" s="15" t="s">
        <v>273</v>
      </c>
      <c r="D14" s="15" t="s">
        <v>262</v>
      </c>
      <c r="E14" s="18" t="s">
        <v>263</v>
      </c>
      <c r="F14" s="32">
        <v>5000</v>
      </c>
      <c r="G14" s="15"/>
    </row>
    <row r="15" s="2" customFormat="1" ht="53" customHeight="1" spans="1:7">
      <c r="A15" s="15">
        <v>9</v>
      </c>
      <c r="B15" s="15" t="s">
        <v>260</v>
      </c>
      <c r="C15" s="15" t="s">
        <v>274</v>
      </c>
      <c r="D15" s="15" t="s">
        <v>262</v>
      </c>
      <c r="E15" s="18" t="s">
        <v>263</v>
      </c>
      <c r="F15" s="32">
        <v>13000</v>
      </c>
      <c r="G15" s="15"/>
    </row>
    <row r="16" s="2" customFormat="1" ht="53" customHeight="1" spans="1:7">
      <c r="A16" s="15">
        <v>10</v>
      </c>
      <c r="B16" s="15" t="s">
        <v>260</v>
      </c>
      <c r="C16" s="15" t="s">
        <v>275</v>
      </c>
      <c r="D16" s="15" t="s">
        <v>262</v>
      </c>
      <c r="E16" s="18" t="s">
        <v>263</v>
      </c>
      <c r="F16" s="32">
        <v>4000</v>
      </c>
      <c r="G16" s="15"/>
    </row>
    <row r="17" s="2" customFormat="1" ht="53" customHeight="1" spans="1:7">
      <c r="A17" s="15">
        <v>11</v>
      </c>
      <c r="B17" s="15" t="s">
        <v>260</v>
      </c>
      <c r="C17" s="15" t="s">
        <v>276</v>
      </c>
      <c r="D17" s="15" t="s">
        <v>262</v>
      </c>
      <c r="E17" s="18" t="s">
        <v>263</v>
      </c>
      <c r="F17" s="32">
        <v>3500</v>
      </c>
      <c r="G17" s="15"/>
    </row>
    <row r="18" s="2" customFormat="1" ht="53" customHeight="1" spans="1:7">
      <c r="A18" s="15">
        <v>12</v>
      </c>
      <c r="B18" s="15" t="s">
        <v>260</v>
      </c>
      <c r="C18" s="15" t="s">
        <v>277</v>
      </c>
      <c r="D18" s="15" t="s">
        <v>262</v>
      </c>
      <c r="E18" s="18" t="s">
        <v>263</v>
      </c>
      <c r="F18" s="32">
        <v>4500</v>
      </c>
      <c r="G18" s="15"/>
    </row>
    <row r="19" s="2" customFormat="1" ht="53" customHeight="1" spans="1:7">
      <c r="A19" s="15">
        <v>13</v>
      </c>
      <c r="B19" s="15" t="s">
        <v>260</v>
      </c>
      <c r="C19" s="15" t="s">
        <v>278</v>
      </c>
      <c r="D19" s="15" t="s">
        <v>279</v>
      </c>
      <c r="E19" s="18" t="s">
        <v>263</v>
      </c>
      <c r="F19" s="32">
        <v>10000</v>
      </c>
      <c r="G19" s="15"/>
    </row>
    <row r="20" s="2" customFormat="1" ht="53" customHeight="1" spans="1:7">
      <c r="A20" s="15">
        <v>14</v>
      </c>
      <c r="B20" s="15" t="s">
        <v>260</v>
      </c>
      <c r="C20" s="15" t="s">
        <v>280</v>
      </c>
      <c r="D20" s="15" t="s">
        <v>262</v>
      </c>
      <c r="E20" s="18" t="s">
        <v>263</v>
      </c>
      <c r="F20" s="32">
        <v>4000</v>
      </c>
      <c r="G20" s="15"/>
    </row>
    <row r="21" s="2" customFormat="1" ht="53" customHeight="1" spans="1:7">
      <c r="A21" s="15">
        <v>15</v>
      </c>
      <c r="B21" s="15" t="s">
        <v>260</v>
      </c>
      <c r="C21" s="15" t="s">
        <v>281</v>
      </c>
      <c r="D21" s="15" t="s">
        <v>262</v>
      </c>
      <c r="E21" s="18" t="s">
        <v>263</v>
      </c>
      <c r="F21" s="32">
        <v>2500</v>
      </c>
      <c r="G21" s="15"/>
    </row>
    <row r="22" s="2" customFormat="1" ht="53" customHeight="1" spans="1:7">
      <c r="A22" s="15">
        <v>16</v>
      </c>
      <c r="B22" s="15" t="s">
        <v>260</v>
      </c>
      <c r="C22" s="15" t="s">
        <v>282</v>
      </c>
      <c r="D22" s="15" t="s">
        <v>262</v>
      </c>
      <c r="E22" s="18" t="s">
        <v>263</v>
      </c>
      <c r="F22" s="32">
        <v>3000</v>
      </c>
      <c r="G22" s="15"/>
    </row>
    <row r="23" s="2" customFormat="1" ht="53" customHeight="1" spans="1:7">
      <c r="A23" s="15">
        <v>17</v>
      </c>
      <c r="B23" s="15" t="s">
        <v>260</v>
      </c>
      <c r="C23" s="15" t="s">
        <v>283</v>
      </c>
      <c r="D23" s="15" t="s">
        <v>262</v>
      </c>
      <c r="E23" s="18" t="s">
        <v>263</v>
      </c>
      <c r="F23" s="32">
        <v>5700</v>
      </c>
      <c r="G23" s="15"/>
    </row>
    <row r="24" s="2" customFormat="1" ht="53" customHeight="1" spans="1:7">
      <c r="A24" s="15">
        <v>18</v>
      </c>
      <c r="B24" s="15" t="s">
        <v>260</v>
      </c>
      <c r="C24" s="15" t="s">
        <v>284</v>
      </c>
      <c r="D24" s="15" t="s">
        <v>262</v>
      </c>
      <c r="E24" s="18" t="s">
        <v>263</v>
      </c>
      <c r="F24" s="32">
        <v>2700</v>
      </c>
      <c r="G24" s="15"/>
    </row>
    <row r="25" s="2" customFormat="1" ht="53" customHeight="1" spans="1:7">
      <c r="A25" s="15">
        <v>19</v>
      </c>
      <c r="B25" s="15" t="s">
        <v>260</v>
      </c>
      <c r="C25" s="15" t="s">
        <v>285</v>
      </c>
      <c r="D25" s="15" t="s">
        <v>262</v>
      </c>
      <c r="E25" s="18" t="s">
        <v>263</v>
      </c>
      <c r="F25" s="32">
        <v>2000</v>
      </c>
      <c r="G25" s="15"/>
    </row>
    <row r="26" s="2" customFormat="1" ht="53" customHeight="1" spans="1:7">
      <c r="A26" s="15">
        <v>20</v>
      </c>
      <c r="B26" s="15" t="s">
        <v>260</v>
      </c>
      <c r="C26" s="15" t="s">
        <v>286</v>
      </c>
      <c r="D26" s="15" t="s">
        <v>262</v>
      </c>
      <c r="E26" s="18" t="s">
        <v>263</v>
      </c>
      <c r="F26" s="32">
        <v>2500</v>
      </c>
      <c r="G26" s="15"/>
    </row>
    <row r="27" s="2" customFormat="1" ht="53" customHeight="1" spans="1:7">
      <c r="A27" s="15">
        <v>21</v>
      </c>
      <c r="B27" s="15" t="s">
        <v>260</v>
      </c>
      <c r="C27" s="15" t="s">
        <v>287</v>
      </c>
      <c r="D27" s="15" t="s">
        <v>262</v>
      </c>
      <c r="E27" s="18" t="s">
        <v>263</v>
      </c>
      <c r="F27" s="32">
        <v>2500</v>
      </c>
      <c r="G27" s="15"/>
    </row>
    <row r="28" s="2" customFormat="1" ht="53" customHeight="1" spans="1:7">
      <c r="A28" s="15">
        <v>22</v>
      </c>
      <c r="B28" s="15" t="s">
        <v>260</v>
      </c>
      <c r="C28" s="15" t="s">
        <v>288</v>
      </c>
      <c r="D28" s="15" t="s">
        <v>262</v>
      </c>
      <c r="E28" s="18" t="s">
        <v>263</v>
      </c>
      <c r="F28" s="32">
        <v>2500</v>
      </c>
      <c r="G28" s="15"/>
    </row>
    <row r="29" s="2" customFormat="1" ht="53" customHeight="1" spans="1:7">
      <c r="A29" s="15">
        <v>23</v>
      </c>
      <c r="B29" s="15" t="s">
        <v>260</v>
      </c>
      <c r="C29" s="15" t="s">
        <v>289</v>
      </c>
      <c r="D29" s="15" t="s">
        <v>262</v>
      </c>
      <c r="E29" s="18" t="s">
        <v>263</v>
      </c>
      <c r="F29" s="32">
        <v>1500</v>
      </c>
      <c r="G29" s="15"/>
    </row>
    <row r="30" s="2" customFormat="1" ht="53" customHeight="1" spans="1:7">
      <c r="A30" s="15">
        <v>24</v>
      </c>
      <c r="B30" s="15" t="s">
        <v>260</v>
      </c>
      <c r="C30" s="15" t="s">
        <v>290</v>
      </c>
      <c r="D30" s="15" t="s">
        <v>291</v>
      </c>
      <c r="E30" s="18" t="s">
        <v>263</v>
      </c>
      <c r="F30" s="32">
        <v>2000</v>
      </c>
      <c r="G30" s="15"/>
    </row>
    <row r="31" s="2" customFormat="1" ht="53" customHeight="1" spans="1:7">
      <c r="A31" s="15">
        <v>25</v>
      </c>
      <c r="B31" s="15" t="s">
        <v>260</v>
      </c>
      <c r="C31" s="15" t="s">
        <v>292</v>
      </c>
      <c r="D31" s="15" t="s">
        <v>293</v>
      </c>
      <c r="E31" s="18" t="s">
        <v>263</v>
      </c>
      <c r="F31" s="32">
        <v>3500</v>
      </c>
      <c r="G31" s="15"/>
    </row>
    <row r="32" s="2" customFormat="1" ht="53" customHeight="1" spans="1:7">
      <c r="A32" s="15">
        <v>26</v>
      </c>
      <c r="B32" s="15" t="s">
        <v>260</v>
      </c>
      <c r="C32" s="15" t="s">
        <v>294</v>
      </c>
      <c r="D32" s="15" t="s">
        <v>262</v>
      </c>
      <c r="E32" s="18" t="s">
        <v>263</v>
      </c>
      <c r="F32" s="32">
        <v>2000</v>
      </c>
      <c r="G32" s="15"/>
    </row>
    <row r="33" s="2" customFormat="1" ht="53" customHeight="1" spans="1:7">
      <c r="A33" s="15">
        <v>27</v>
      </c>
      <c r="B33" s="15" t="s">
        <v>260</v>
      </c>
      <c r="C33" s="15" t="s">
        <v>295</v>
      </c>
      <c r="D33" s="15" t="s">
        <v>262</v>
      </c>
      <c r="E33" s="18" t="s">
        <v>263</v>
      </c>
      <c r="F33" s="32">
        <v>3000</v>
      </c>
      <c r="G33" s="15"/>
    </row>
    <row r="34" s="2" customFormat="1" ht="53" customHeight="1" spans="1:7">
      <c r="A34" s="15">
        <v>28</v>
      </c>
      <c r="B34" s="15" t="s">
        <v>260</v>
      </c>
      <c r="C34" s="15" t="s">
        <v>296</v>
      </c>
      <c r="D34" s="15" t="s">
        <v>262</v>
      </c>
      <c r="E34" s="18" t="s">
        <v>263</v>
      </c>
      <c r="F34" s="32">
        <v>1600</v>
      </c>
      <c r="G34" s="15"/>
    </row>
    <row r="35" s="2" customFormat="1" ht="53" customHeight="1" spans="1:7">
      <c r="A35" s="15">
        <v>29</v>
      </c>
      <c r="B35" s="15" t="s">
        <v>260</v>
      </c>
      <c r="C35" s="15" t="s">
        <v>297</v>
      </c>
      <c r="D35" s="15" t="s">
        <v>298</v>
      </c>
      <c r="E35" s="18" t="s">
        <v>263</v>
      </c>
      <c r="F35" s="32">
        <v>2000</v>
      </c>
      <c r="G35" s="15"/>
    </row>
    <row r="36" s="2" customFormat="1" ht="53" customHeight="1" spans="1:7">
      <c r="A36" s="15">
        <v>30</v>
      </c>
      <c r="B36" s="15" t="s">
        <v>260</v>
      </c>
      <c r="C36" s="15" t="s">
        <v>299</v>
      </c>
      <c r="D36" s="15" t="s">
        <v>272</v>
      </c>
      <c r="E36" s="18" t="s">
        <v>263</v>
      </c>
      <c r="F36" s="32">
        <v>1500</v>
      </c>
      <c r="G36" s="15"/>
    </row>
    <row r="37" s="2" customFormat="1" ht="53" customHeight="1" spans="1:7">
      <c r="A37" s="15">
        <v>31</v>
      </c>
      <c r="B37" s="15" t="s">
        <v>260</v>
      </c>
      <c r="C37" s="15" t="s">
        <v>300</v>
      </c>
      <c r="D37" s="15" t="s">
        <v>262</v>
      </c>
      <c r="E37" s="18" t="s">
        <v>263</v>
      </c>
      <c r="F37" s="32">
        <v>1500</v>
      </c>
      <c r="G37" s="15"/>
    </row>
    <row r="38" s="2" customFormat="1" ht="53" customHeight="1" spans="1:7">
      <c r="A38" s="15">
        <v>32</v>
      </c>
      <c r="B38" s="15" t="s">
        <v>260</v>
      </c>
      <c r="C38" s="15" t="s">
        <v>301</v>
      </c>
      <c r="D38" s="15" t="s">
        <v>262</v>
      </c>
      <c r="E38" s="18" t="s">
        <v>263</v>
      </c>
      <c r="F38" s="32">
        <v>1500</v>
      </c>
      <c r="G38" s="15"/>
    </row>
    <row r="39" s="2" customFormat="1" ht="53" customHeight="1" spans="1:7">
      <c r="A39" s="15">
        <v>33</v>
      </c>
      <c r="B39" s="15" t="s">
        <v>260</v>
      </c>
      <c r="C39" s="15" t="s">
        <v>302</v>
      </c>
      <c r="D39" s="15" t="s">
        <v>262</v>
      </c>
      <c r="E39" s="18" t="s">
        <v>263</v>
      </c>
      <c r="F39" s="32">
        <v>1500</v>
      </c>
      <c r="G39" s="15"/>
    </row>
    <row r="40" s="2" customFormat="1" ht="53" customHeight="1" spans="1:7">
      <c r="A40" s="15">
        <v>34</v>
      </c>
      <c r="B40" s="15" t="s">
        <v>260</v>
      </c>
      <c r="C40" s="15" t="s">
        <v>303</v>
      </c>
      <c r="D40" s="15" t="s">
        <v>304</v>
      </c>
      <c r="E40" s="18" t="s">
        <v>263</v>
      </c>
      <c r="F40" s="32">
        <v>1000</v>
      </c>
      <c r="G40" s="15"/>
    </row>
    <row r="41" s="2" customFormat="1" ht="53" customHeight="1" spans="1:7">
      <c r="A41" s="15">
        <v>35</v>
      </c>
      <c r="B41" s="15" t="s">
        <v>260</v>
      </c>
      <c r="C41" s="15" t="s">
        <v>305</v>
      </c>
      <c r="D41" s="15" t="s">
        <v>272</v>
      </c>
      <c r="E41" s="18" t="s">
        <v>263</v>
      </c>
      <c r="F41" s="32">
        <v>1000</v>
      </c>
      <c r="G41" s="15"/>
    </row>
    <row r="42" s="2" customFormat="1" ht="53" customHeight="1" spans="1:7">
      <c r="A42" s="15">
        <v>36</v>
      </c>
      <c r="B42" s="15" t="s">
        <v>260</v>
      </c>
      <c r="C42" s="15" t="s">
        <v>306</v>
      </c>
      <c r="D42" s="15" t="s">
        <v>307</v>
      </c>
      <c r="E42" s="18" t="s">
        <v>263</v>
      </c>
      <c r="F42" s="32">
        <v>1200</v>
      </c>
      <c r="G42" s="15"/>
    </row>
    <row r="43" s="2" customFormat="1" ht="53" customHeight="1" spans="1:7">
      <c r="A43" s="15">
        <v>37</v>
      </c>
      <c r="B43" s="15" t="s">
        <v>260</v>
      </c>
      <c r="C43" s="15" t="s">
        <v>308</v>
      </c>
      <c r="D43" s="15" t="s">
        <v>262</v>
      </c>
      <c r="E43" s="18" t="s">
        <v>263</v>
      </c>
      <c r="F43" s="32">
        <v>1000</v>
      </c>
      <c r="G43" s="15"/>
    </row>
    <row r="44" s="2" customFormat="1" ht="53" customHeight="1" spans="1:7">
      <c r="A44" s="15">
        <v>38</v>
      </c>
      <c r="B44" s="15" t="s">
        <v>260</v>
      </c>
      <c r="C44" s="15" t="s">
        <v>309</v>
      </c>
      <c r="D44" s="15" t="s">
        <v>262</v>
      </c>
      <c r="E44" s="18" t="s">
        <v>263</v>
      </c>
      <c r="F44" s="32">
        <v>1000</v>
      </c>
      <c r="G44" s="15"/>
    </row>
    <row r="45" s="2" customFormat="1" ht="53" customHeight="1" spans="1:7">
      <c r="A45" s="15">
        <v>39</v>
      </c>
      <c r="B45" s="15" t="s">
        <v>260</v>
      </c>
      <c r="C45" s="15" t="s">
        <v>310</v>
      </c>
      <c r="D45" s="15" t="s">
        <v>262</v>
      </c>
      <c r="E45" s="18" t="s">
        <v>263</v>
      </c>
      <c r="F45" s="32">
        <v>1000</v>
      </c>
      <c r="G45" s="15"/>
    </row>
    <row r="46" s="2" customFormat="1" ht="53" customHeight="1" spans="1:7">
      <c r="A46" s="15">
        <v>40</v>
      </c>
      <c r="B46" s="15" t="s">
        <v>260</v>
      </c>
      <c r="C46" s="15" t="s">
        <v>311</v>
      </c>
      <c r="D46" s="15" t="s">
        <v>262</v>
      </c>
      <c r="E46" s="18" t="s">
        <v>263</v>
      </c>
      <c r="F46" s="32">
        <v>1000</v>
      </c>
      <c r="G46" s="15"/>
    </row>
    <row r="47" s="2" customFormat="1" ht="53" customHeight="1" spans="1:7">
      <c r="A47" s="15">
        <v>41</v>
      </c>
      <c r="B47" s="15" t="s">
        <v>260</v>
      </c>
      <c r="C47" s="15" t="s">
        <v>312</v>
      </c>
      <c r="D47" s="15" t="s">
        <v>262</v>
      </c>
      <c r="E47" s="18" t="s">
        <v>263</v>
      </c>
      <c r="F47" s="32">
        <v>1000</v>
      </c>
      <c r="G47" s="15"/>
    </row>
    <row r="48" s="2" customFormat="1" ht="53" customHeight="1" spans="1:7">
      <c r="A48" s="15">
        <v>42</v>
      </c>
      <c r="B48" s="15" t="s">
        <v>260</v>
      </c>
      <c r="C48" s="15" t="s">
        <v>313</v>
      </c>
      <c r="D48" s="15" t="s">
        <v>262</v>
      </c>
      <c r="E48" s="18" t="s">
        <v>263</v>
      </c>
      <c r="F48" s="32">
        <v>1000</v>
      </c>
      <c r="G48" s="15"/>
    </row>
    <row r="49" s="2" customFormat="1" ht="53" customHeight="1" spans="1:7">
      <c r="A49" s="15">
        <v>43</v>
      </c>
      <c r="B49" s="15" t="s">
        <v>260</v>
      </c>
      <c r="C49" s="15" t="s">
        <v>314</v>
      </c>
      <c r="D49" s="15" t="s">
        <v>262</v>
      </c>
      <c r="E49" s="18" t="s">
        <v>263</v>
      </c>
      <c r="F49" s="32">
        <v>1000</v>
      </c>
      <c r="G49" s="15"/>
    </row>
    <row r="50" s="2" customFormat="1" ht="53" customHeight="1" spans="1:7">
      <c r="A50" s="15">
        <v>44</v>
      </c>
      <c r="B50" s="15" t="s">
        <v>260</v>
      </c>
      <c r="C50" s="15" t="s">
        <v>315</v>
      </c>
      <c r="D50" s="15" t="s">
        <v>262</v>
      </c>
      <c r="E50" s="18" t="s">
        <v>263</v>
      </c>
      <c r="F50" s="32">
        <v>1000</v>
      </c>
      <c r="G50" s="15"/>
    </row>
    <row r="51" s="2" customFormat="1" ht="53" customHeight="1" spans="1:7">
      <c r="A51" s="15">
        <v>45</v>
      </c>
      <c r="B51" s="15" t="s">
        <v>260</v>
      </c>
      <c r="C51" s="15" t="s">
        <v>316</v>
      </c>
      <c r="D51" s="15" t="s">
        <v>262</v>
      </c>
      <c r="E51" s="18" t="s">
        <v>263</v>
      </c>
      <c r="F51" s="32">
        <v>1000</v>
      </c>
      <c r="G51" s="15"/>
    </row>
    <row r="52" s="2" customFormat="1" ht="53" customHeight="1" spans="1:7">
      <c r="A52" s="15">
        <v>46</v>
      </c>
      <c r="B52" s="15" t="s">
        <v>260</v>
      </c>
      <c r="C52" s="15" t="s">
        <v>317</v>
      </c>
      <c r="D52" s="15" t="s">
        <v>262</v>
      </c>
      <c r="E52" s="18" t="s">
        <v>263</v>
      </c>
      <c r="F52" s="32">
        <v>2000</v>
      </c>
      <c r="G52" s="15"/>
    </row>
    <row r="53" s="2" customFormat="1" ht="53" customHeight="1" spans="1:7">
      <c r="A53" s="15">
        <v>47</v>
      </c>
      <c r="B53" s="15" t="s">
        <v>260</v>
      </c>
      <c r="C53" s="15" t="s">
        <v>318</v>
      </c>
      <c r="D53" s="15" t="s">
        <v>319</v>
      </c>
      <c r="E53" s="18" t="s">
        <v>263</v>
      </c>
      <c r="F53" s="32">
        <v>2500</v>
      </c>
      <c r="G53" s="15"/>
    </row>
    <row r="54" s="1" customFormat="1" ht="38" customHeight="1" spans="1:7">
      <c r="A54" s="9"/>
      <c r="B54" s="13" t="s">
        <v>320</v>
      </c>
      <c r="C54" s="14"/>
      <c r="D54" s="9"/>
      <c r="E54" s="12"/>
      <c r="F54" s="12">
        <f>F55+F75+F79+F82</f>
        <v>103900</v>
      </c>
      <c r="G54" s="9"/>
    </row>
    <row r="55" s="1" customFormat="1" ht="36" customHeight="1" spans="1:7">
      <c r="A55" s="9" t="s">
        <v>321</v>
      </c>
      <c r="B55" s="33" t="s">
        <v>322</v>
      </c>
      <c r="C55" s="34"/>
      <c r="D55" s="9"/>
      <c r="E55" s="12"/>
      <c r="F55" s="12">
        <f>SUM(F56:F74)</f>
        <v>54500</v>
      </c>
      <c r="G55" s="9"/>
    </row>
    <row r="56" s="2" customFormat="1" ht="53" customHeight="1" spans="1:7">
      <c r="A56" s="15">
        <v>48</v>
      </c>
      <c r="B56" s="15" t="s">
        <v>322</v>
      </c>
      <c r="C56" s="15" t="s">
        <v>323</v>
      </c>
      <c r="D56" s="15" t="s">
        <v>262</v>
      </c>
      <c r="E56" s="18" t="s">
        <v>263</v>
      </c>
      <c r="F56" s="32">
        <v>11600</v>
      </c>
      <c r="G56" s="15"/>
    </row>
    <row r="57" s="2" customFormat="1" ht="53" customHeight="1" spans="1:7">
      <c r="A57" s="15">
        <v>49</v>
      </c>
      <c r="B57" s="15" t="s">
        <v>322</v>
      </c>
      <c r="C57" s="15" t="s">
        <v>324</v>
      </c>
      <c r="D57" s="15" t="s">
        <v>262</v>
      </c>
      <c r="E57" s="18" t="s">
        <v>263</v>
      </c>
      <c r="F57" s="32">
        <v>3000</v>
      </c>
      <c r="G57" s="15"/>
    </row>
    <row r="58" s="2" customFormat="1" ht="53" customHeight="1" spans="1:7">
      <c r="A58" s="15">
        <v>50</v>
      </c>
      <c r="B58" s="15" t="s">
        <v>322</v>
      </c>
      <c r="C58" s="15" t="s">
        <v>325</v>
      </c>
      <c r="D58" s="15" t="s">
        <v>262</v>
      </c>
      <c r="E58" s="18" t="s">
        <v>263</v>
      </c>
      <c r="F58" s="32">
        <v>4000</v>
      </c>
      <c r="G58" s="15"/>
    </row>
    <row r="59" s="2" customFormat="1" ht="53" customHeight="1" spans="1:7">
      <c r="A59" s="15">
        <v>51</v>
      </c>
      <c r="B59" s="15" t="s">
        <v>322</v>
      </c>
      <c r="C59" s="15" t="s">
        <v>326</v>
      </c>
      <c r="D59" s="15" t="s">
        <v>262</v>
      </c>
      <c r="E59" s="18" t="s">
        <v>263</v>
      </c>
      <c r="F59" s="32">
        <v>10000</v>
      </c>
      <c r="G59" s="15"/>
    </row>
    <row r="60" s="2" customFormat="1" ht="53" customHeight="1" spans="1:7">
      <c r="A60" s="15">
        <v>52</v>
      </c>
      <c r="B60" s="15" t="s">
        <v>322</v>
      </c>
      <c r="C60" s="15" t="s">
        <v>327</v>
      </c>
      <c r="D60" s="15" t="s">
        <v>262</v>
      </c>
      <c r="E60" s="18" t="s">
        <v>263</v>
      </c>
      <c r="F60" s="32">
        <v>2000</v>
      </c>
      <c r="G60" s="15"/>
    </row>
    <row r="61" s="2" customFormat="1" ht="53" customHeight="1" spans="1:7">
      <c r="A61" s="15">
        <v>53</v>
      </c>
      <c r="B61" s="15" t="s">
        <v>322</v>
      </c>
      <c r="C61" s="15" t="s">
        <v>328</v>
      </c>
      <c r="D61" s="15" t="s">
        <v>262</v>
      </c>
      <c r="E61" s="18" t="s">
        <v>263</v>
      </c>
      <c r="F61" s="32">
        <v>2000</v>
      </c>
      <c r="G61" s="15"/>
    </row>
    <row r="62" s="2" customFormat="1" ht="53" customHeight="1" spans="1:7">
      <c r="A62" s="15">
        <v>54</v>
      </c>
      <c r="B62" s="15" t="s">
        <v>322</v>
      </c>
      <c r="C62" s="15" t="s">
        <v>329</v>
      </c>
      <c r="D62" s="15" t="s">
        <v>262</v>
      </c>
      <c r="E62" s="18" t="s">
        <v>263</v>
      </c>
      <c r="F62" s="32">
        <v>2500</v>
      </c>
      <c r="G62" s="15"/>
    </row>
    <row r="63" s="2" customFormat="1" ht="53" customHeight="1" spans="1:7">
      <c r="A63" s="15">
        <v>55</v>
      </c>
      <c r="B63" s="15" t="s">
        <v>322</v>
      </c>
      <c r="C63" s="15" t="s">
        <v>330</v>
      </c>
      <c r="D63" s="15" t="s">
        <v>262</v>
      </c>
      <c r="E63" s="18" t="s">
        <v>263</v>
      </c>
      <c r="F63" s="32">
        <v>2000</v>
      </c>
      <c r="G63" s="15"/>
    </row>
    <row r="64" s="2" customFormat="1" ht="53" customHeight="1" spans="1:7">
      <c r="A64" s="15">
        <v>56</v>
      </c>
      <c r="B64" s="15" t="s">
        <v>322</v>
      </c>
      <c r="C64" s="15" t="s">
        <v>331</v>
      </c>
      <c r="D64" s="15" t="s">
        <v>262</v>
      </c>
      <c r="E64" s="18" t="s">
        <v>263</v>
      </c>
      <c r="F64" s="32">
        <v>2000</v>
      </c>
      <c r="G64" s="15"/>
    </row>
    <row r="65" s="2" customFormat="1" ht="53" customHeight="1" spans="1:7">
      <c r="A65" s="15">
        <v>57</v>
      </c>
      <c r="B65" s="15" t="s">
        <v>322</v>
      </c>
      <c r="C65" s="15" t="s">
        <v>332</v>
      </c>
      <c r="D65" s="15" t="s">
        <v>262</v>
      </c>
      <c r="E65" s="18" t="s">
        <v>263</v>
      </c>
      <c r="F65" s="32">
        <v>2000</v>
      </c>
      <c r="G65" s="15"/>
    </row>
    <row r="66" s="2" customFormat="1" ht="53" customHeight="1" spans="1:7">
      <c r="A66" s="15">
        <v>58</v>
      </c>
      <c r="B66" s="15" t="s">
        <v>322</v>
      </c>
      <c r="C66" s="15" t="s">
        <v>333</v>
      </c>
      <c r="D66" s="15" t="s">
        <v>262</v>
      </c>
      <c r="E66" s="18" t="s">
        <v>263</v>
      </c>
      <c r="F66" s="32">
        <v>2000</v>
      </c>
      <c r="G66" s="15"/>
    </row>
    <row r="67" s="2" customFormat="1" ht="53" customHeight="1" spans="1:7">
      <c r="A67" s="15">
        <v>59</v>
      </c>
      <c r="B67" s="15" t="s">
        <v>322</v>
      </c>
      <c r="C67" s="15" t="s">
        <v>334</v>
      </c>
      <c r="D67" s="15" t="s">
        <v>262</v>
      </c>
      <c r="E67" s="18" t="s">
        <v>263</v>
      </c>
      <c r="F67" s="32">
        <v>2000</v>
      </c>
      <c r="G67" s="15"/>
    </row>
    <row r="68" s="2" customFormat="1" ht="53" customHeight="1" spans="1:7">
      <c r="A68" s="15">
        <v>60</v>
      </c>
      <c r="B68" s="15" t="s">
        <v>322</v>
      </c>
      <c r="C68" s="15" t="s">
        <v>335</v>
      </c>
      <c r="D68" s="15" t="s">
        <v>262</v>
      </c>
      <c r="E68" s="18" t="s">
        <v>263</v>
      </c>
      <c r="F68" s="32">
        <v>1500</v>
      </c>
      <c r="G68" s="15"/>
    </row>
    <row r="69" s="2" customFormat="1" ht="53" customHeight="1" spans="1:7">
      <c r="A69" s="15">
        <v>61</v>
      </c>
      <c r="B69" s="15" t="s">
        <v>322</v>
      </c>
      <c r="C69" s="15" t="s">
        <v>336</v>
      </c>
      <c r="D69" s="15" t="s">
        <v>262</v>
      </c>
      <c r="E69" s="18" t="s">
        <v>263</v>
      </c>
      <c r="F69" s="32">
        <v>1500</v>
      </c>
      <c r="G69" s="15"/>
    </row>
    <row r="70" s="2" customFormat="1" ht="53" customHeight="1" spans="1:7">
      <c r="A70" s="15">
        <v>62</v>
      </c>
      <c r="B70" s="15" t="s">
        <v>322</v>
      </c>
      <c r="C70" s="15" t="s">
        <v>337</v>
      </c>
      <c r="D70" s="15" t="s">
        <v>262</v>
      </c>
      <c r="E70" s="18" t="s">
        <v>263</v>
      </c>
      <c r="F70" s="32">
        <v>1500</v>
      </c>
      <c r="G70" s="15"/>
    </row>
    <row r="71" s="2" customFormat="1" ht="53" customHeight="1" spans="1:7">
      <c r="A71" s="15">
        <v>63</v>
      </c>
      <c r="B71" s="15" t="s">
        <v>322</v>
      </c>
      <c r="C71" s="15" t="s">
        <v>338</v>
      </c>
      <c r="D71" s="15" t="s">
        <v>262</v>
      </c>
      <c r="E71" s="18" t="s">
        <v>263</v>
      </c>
      <c r="F71" s="32">
        <v>1200</v>
      </c>
      <c r="G71" s="15"/>
    </row>
    <row r="72" s="2" customFormat="1" ht="53" customHeight="1" spans="1:7">
      <c r="A72" s="15">
        <v>64</v>
      </c>
      <c r="B72" s="15" t="s">
        <v>322</v>
      </c>
      <c r="C72" s="15" t="s">
        <v>339</v>
      </c>
      <c r="D72" s="15" t="s">
        <v>262</v>
      </c>
      <c r="E72" s="18" t="s">
        <v>263</v>
      </c>
      <c r="F72" s="32">
        <v>1000</v>
      </c>
      <c r="G72" s="15"/>
    </row>
    <row r="73" s="2" customFormat="1" ht="53" customHeight="1" spans="1:7">
      <c r="A73" s="15">
        <v>65</v>
      </c>
      <c r="B73" s="15" t="s">
        <v>322</v>
      </c>
      <c r="C73" s="15" t="s">
        <v>340</v>
      </c>
      <c r="D73" s="15" t="s">
        <v>262</v>
      </c>
      <c r="E73" s="18" t="s">
        <v>263</v>
      </c>
      <c r="F73" s="32">
        <v>1200</v>
      </c>
      <c r="G73" s="15"/>
    </row>
    <row r="74" s="2" customFormat="1" ht="53" customHeight="1" spans="1:7">
      <c r="A74" s="15">
        <v>66</v>
      </c>
      <c r="B74" s="15" t="s">
        <v>322</v>
      </c>
      <c r="C74" s="15" t="s">
        <v>341</v>
      </c>
      <c r="D74" s="15" t="s">
        <v>262</v>
      </c>
      <c r="E74" s="18" t="s">
        <v>263</v>
      </c>
      <c r="F74" s="32">
        <v>1500</v>
      </c>
      <c r="G74" s="15"/>
    </row>
    <row r="75" s="23" customFormat="1" ht="36" customHeight="1" spans="1:7">
      <c r="A75" s="27" t="s">
        <v>342</v>
      </c>
      <c r="B75" s="28" t="s">
        <v>343</v>
      </c>
      <c r="C75" s="29"/>
      <c r="D75" s="30"/>
      <c r="E75" s="31"/>
      <c r="F75" s="31">
        <f>SUM(F76:F78)</f>
        <v>3000</v>
      </c>
      <c r="G75" s="30"/>
    </row>
    <row r="76" s="2" customFormat="1" ht="53" customHeight="1" spans="1:7">
      <c r="A76" s="15">
        <v>67</v>
      </c>
      <c r="B76" s="15" t="s">
        <v>343</v>
      </c>
      <c r="C76" s="15" t="s">
        <v>344</v>
      </c>
      <c r="D76" s="15" t="s">
        <v>345</v>
      </c>
      <c r="E76" s="18" t="s">
        <v>263</v>
      </c>
      <c r="F76" s="32">
        <v>1000</v>
      </c>
      <c r="G76" s="15"/>
    </row>
    <row r="77" s="2" customFormat="1" ht="53" customHeight="1" spans="1:7">
      <c r="A77" s="15">
        <v>68</v>
      </c>
      <c r="B77" s="15" t="s">
        <v>343</v>
      </c>
      <c r="C77" s="15" t="s">
        <v>346</v>
      </c>
      <c r="D77" s="15" t="s">
        <v>304</v>
      </c>
      <c r="E77" s="18" t="s">
        <v>263</v>
      </c>
      <c r="F77" s="32">
        <v>1000</v>
      </c>
      <c r="G77" s="15"/>
    </row>
    <row r="78" s="2" customFormat="1" ht="53" customHeight="1" spans="1:7">
      <c r="A78" s="15">
        <v>69</v>
      </c>
      <c r="B78" s="15" t="s">
        <v>343</v>
      </c>
      <c r="C78" s="15" t="s">
        <v>347</v>
      </c>
      <c r="D78" s="15" t="s">
        <v>348</v>
      </c>
      <c r="E78" s="18" t="s">
        <v>263</v>
      </c>
      <c r="F78" s="32">
        <v>1000</v>
      </c>
      <c r="G78" s="15"/>
    </row>
    <row r="79" s="23" customFormat="1" ht="34" customHeight="1" spans="1:7">
      <c r="A79" s="27" t="s">
        <v>349</v>
      </c>
      <c r="B79" s="28" t="s">
        <v>350</v>
      </c>
      <c r="C79" s="29"/>
      <c r="D79" s="30"/>
      <c r="E79" s="31"/>
      <c r="F79" s="31">
        <f>SUM(F80:F81)</f>
        <v>3400</v>
      </c>
      <c r="G79" s="30"/>
    </row>
    <row r="80" s="2" customFormat="1" ht="53" customHeight="1" spans="1:7">
      <c r="A80" s="15">
        <v>70</v>
      </c>
      <c r="B80" s="15" t="s">
        <v>350</v>
      </c>
      <c r="C80" s="15" t="s">
        <v>351</v>
      </c>
      <c r="D80" s="15" t="s">
        <v>304</v>
      </c>
      <c r="E80" s="18" t="s">
        <v>263</v>
      </c>
      <c r="F80" s="32">
        <v>1000</v>
      </c>
      <c r="G80" s="15"/>
    </row>
    <row r="81" s="2" customFormat="1" ht="53" customHeight="1" spans="1:7">
      <c r="A81" s="15">
        <v>71</v>
      </c>
      <c r="B81" s="17" t="s">
        <v>350</v>
      </c>
      <c r="C81" s="17" t="s">
        <v>352</v>
      </c>
      <c r="D81" s="17" t="s">
        <v>267</v>
      </c>
      <c r="E81" s="18" t="s">
        <v>263</v>
      </c>
      <c r="F81" s="19">
        <v>2400</v>
      </c>
      <c r="G81" s="17"/>
    </row>
    <row r="82" s="24" customFormat="1" ht="38" customHeight="1" spans="1:7">
      <c r="A82" s="27" t="s">
        <v>353</v>
      </c>
      <c r="B82" s="28" t="s">
        <v>354</v>
      </c>
      <c r="C82" s="29"/>
      <c r="D82" s="30"/>
      <c r="E82" s="31"/>
      <c r="F82" s="31">
        <f>SUM(F83:F94)</f>
        <v>43000</v>
      </c>
      <c r="G82" s="30"/>
    </row>
    <row r="83" s="1" customFormat="1" ht="53" customHeight="1" spans="1:7">
      <c r="A83" s="15">
        <v>72</v>
      </c>
      <c r="B83" s="15" t="s">
        <v>354</v>
      </c>
      <c r="C83" s="15" t="s">
        <v>355</v>
      </c>
      <c r="D83" s="15" t="s">
        <v>356</v>
      </c>
      <c r="E83" s="18" t="s">
        <v>263</v>
      </c>
      <c r="F83" s="32">
        <v>20000</v>
      </c>
      <c r="G83" s="15"/>
    </row>
    <row r="84" s="1" customFormat="1" ht="53" customHeight="1" spans="1:7">
      <c r="A84" s="15">
        <v>73</v>
      </c>
      <c r="B84" s="15" t="s">
        <v>354</v>
      </c>
      <c r="C84" s="15" t="s">
        <v>357</v>
      </c>
      <c r="D84" s="15" t="s">
        <v>356</v>
      </c>
      <c r="E84" s="18" t="s">
        <v>263</v>
      </c>
      <c r="F84" s="32">
        <v>10000</v>
      </c>
      <c r="G84" s="15"/>
    </row>
    <row r="85" s="1" customFormat="1" ht="53" customHeight="1" spans="1:7">
      <c r="A85" s="15">
        <v>74</v>
      </c>
      <c r="B85" s="15" t="s">
        <v>354</v>
      </c>
      <c r="C85" s="15" t="s">
        <v>358</v>
      </c>
      <c r="D85" s="15" t="s">
        <v>356</v>
      </c>
      <c r="E85" s="18" t="s">
        <v>263</v>
      </c>
      <c r="F85" s="32">
        <v>6000</v>
      </c>
      <c r="G85" s="15"/>
    </row>
    <row r="86" s="1" customFormat="1" ht="53" customHeight="1" spans="1:7">
      <c r="A86" s="15">
        <v>75</v>
      </c>
      <c r="B86" s="15" t="s">
        <v>354</v>
      </c>
      <c r="C86" s="15" t="s">
        <v>359</v>
      </c>
      <c r="D86" s="15" t="s">
        <v>356</v>
      </c>
      <c r="E86" s="18" t="s">
        <v>263</v>
      </c>
      <c r="F86" s="32">
        <v>2000</v>
      </c>
      <c r="G86" s="15"/>
    </row>
    <row r="87" s="1" customFormat="1" ht="53" customHeight="1" spans="1:7">
      <c r="A87" s="15">
        <v>76</v>
      </c>
      <c r="B87" s="15" t="s">
        <v>354</v>
      </c>
      <c r="C87" s="15" t="s">
        <v>360</v>
      </c>
      <c r="D87" s="15" t="s">
        <v>356</v>
      </c>
      <c r="E87" s="18" t="s">
        <v>263</v>
      </c>
      <c r="F87" s="32">
        <v>1000</v>
      </c>
      <c r="G87" s="15"/>
    </row>
    <row r="88" s="1" customFormat="1" ht="53" customHeight="1" spans="1:7">
      <c r="A88" s="15">
        <v>77</v>
      </c>
      <c r="B88" s="15" t="s">
        <v>354</v>
      </c>
      <c r="C88" s="15" t="s">
        <v>361</v>
      </c>
      <c r="D88" s="15" t="s">
        <v>356</v>
      </c>
      <c r="E88" s="18" t="s">
        <v>263</v>
      </c>
      <c r="F88" s="32">
        <v>2000</v>
      </c>
      <c r="G88" s="15"/>
    </row>
    <row r="89" s="1" customFormat="1" ht="53" customHeight="1" spans="1:7">
      <c r="A89" s="15">
        <v>78</v>
      </c>
      <c r="B89" s="15" t="s">
        <v>354</v>
      </c>
      <c r="C89" s="15" t="s">
        <v>362</v>
      </c>
      <c r="D89" s="15" t="s">
        <v>356</v>
      </c>
      <c r="E89" s="18" t="s">
        <v>263</v>
      </c>
      <c r="F89" s="32">
        <v>1000</v>
      </c>
      <c r="G89" s="15"/>
    </row>
    <row r="90" s="1" customFormat="1" ht="53" customHeight="1" spans="1:7">
      <c r="A90" s="15">
        <v>79</v>
      </c>
      <c r="B90" s="15" t="s">
        <v>354</v>
      </c>
      <c r="C90" s="15" t="s">
        <v>363</v>
      </c>
      <c r="D90" s="15" t="s">
        <v>356</v>
      </c>
      <c r="E90" s="18" t="s">
        <v>263</v>
      </c>
      <c r="F90" s="32">
        <v>1000</v>
      </c>
      <c r="G90" s="15"/>
    </row>
  </sheetData>
  <mergeCells count="10">
    <mergeCell ref="A2:G2"/>
    <mergeCell ref="A3:D3"/>
    <mergeCell ref="E3:G3"/>
    <mergeCell ref="B5:C5"/>
    <mergeCell ref="B6:C6"/>
    <mergeCell ref="B54:C54"/>
    <mergeCell ref="B55:C55"/>
    <mergeCell ref="B75:C75"/>
    <mergeCell ref="B79:C79"/>
    <mergeCell ref="B82:C82"/>
  </mergeCells>
  <pageMargins left="0.751388888888889" right="0.751388888888889" top="1" bottom="1" header="0.5" footer="0.196527777777778"/>
  <pageSetup paperSize="9" scale="61" firstPageNumber="16" fitToHeight="0" orientation="landscape" useFirstPageNumber="1" horizontalDpi="600"/>
  <headerFooter>
    <oddFooter>&amp;C&amp;22—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tabSelected="1" zoomScale="55" zoomScaleNormal="55" topLeftCell="A10" workbookViewId="0">
      <selection activeCell="D5" sqref="D5"/>
    </sheetView>
  </sheetViews>
  <sheetFormatPr defaultColWidth="10" defaultRowHeight="20.25" outlineLevelCol="6"/>
  <cols>
    <col min="1" max="1" width="9.3" style="3" customWidth="1"/>
    <col min="2" max="2" width="26.0083333333333" style="3" customWidth="1"/>
    <col min="3" max="3" width="59.9916666666667" style="3" customWidth="1"/>
    <col min="4" max="4" width="52.725" style="3" customWidth="1"/>
    <col min="5" max="5" width="29.2833333333333" style="4" customWidth="1"/>
    <col min="6" max="6" width="18.175" style="4" customWidth="1"/>
    <col min="7" max="7" width="11.5166666666667" style="1" customWidth="1"/>
    <col min="8" max="8" width="10" style="1"/>
    <col min="9" max="9" width="11.675" style="1"/>
    <col min="10" max="16368" width="10" style="1"/>
    <col min="16369" max="16384" width="10" style="5"/>
  </cols>
  <sheetData>
    <row r="1" spans="1:1">
      <c r="A1" s="3" t="s">
        <v>364</v>
      </c>
    </row>
    <row r="2" s="1" customFormat="1" ht="36" customHeight="1" spans="1:7">
      <c r="A2" s="6" t="s">
        <v>365</v>
      </c>
      <c r="B2" s="6"/>
      <c r="C2" s="6"/>
      <c r="D2" s="6"/>
      <c r="E2" s="6"/>
      <c r="F2" s="6"/>
      <c r="G2" s="6"/>
    </row>
    <row r="3" s="1" customFormat="1" ht="31" customHeight="1" spans="1:7">
      <c r="A3" s="7"/>
      <c r="B3" s="7"/>
      <c r="C3" s="7"/>
      <c r="D3" s="7"/>
      <c r="E3" s="8" t="s">
        <v>250</v>
      </c>
      <c r="F3" s="8"/>
      <c r="G3" s="8"/>
    </row>
    <row r="4" s="1" customFormat="1" ht="47" customHeight="1" spans="1:7">
      <c r="A4" s="9" t="s">
        <v>251</v>
      </c>
      <c r="B4" s="9" t="s">
        <v>252</v>
      </c>
      <c r="C4" s="10" t="s">
        <v>253</v>
      </c>
      <c r="D4" s="9" t="s">
        <v>254</v>
      </c>
      <c r="E4" s="11" t="s">
        <v>255</v>
      </c>
      <c r="F4" s="12" t="s">
        <v>256</v>
      </c>
      <c r="G4" s="9" t="s">
        <v>257</v>
      </c>
    </row>
    <row r="5" s="1" customFormat="1" ht="47" customHeight="1" spans="1:7">
      <c r="A5" s="9"/>
      <c r="B5" s="13" t="s">
        <v>258</v>
      </c>
      <c r="C5" s="14"/>
      <c r="D5" s="9"/>
      <c r="E5" s="11"/>
      <c r="F5" s="12">
        <f>F6+F15</f>
        <v>0</v>
      </c>
      <c r="G5" s="9"/>
    </row>
    <row r="6" s="1" customFormat="1" ht="38" customHeight="1" spans="1:7">
      <c r="A6" s="9"/>
      <c r="B6" s="13" t="s">
        <v>259</v>
      </c>
      <c r="C6" s="14"/>
      <c r="D6" s="9"/>
      <c r="E6" s="12"/>
      <c r="F6" s="12">
        <f>SUM(F7:F14)</f>
        <v>-7458</v>
      </c>
      <c r="G6" s="9"/>
    </row>
    <row r="7" s="2" customFormat="1" ht="53" customHeight="1" spans="1:7">
      <c r="A7" s="15">
        <v>1</v>
      </c>
      <c r="B7" s="16" t="s">
        <v>260</v>
      </c>
      <c r="C7" s="17" t="s">
        <v>366</v>
      </c>
      <c r="D7" s="17" t="s">
        <v>356</v>
      </c>
      <c r="E7" s="18" t="s">
        <v>263</v>
      </c>
      <c r="F7" s="19">
        <v>-1176</v>
      </c>
      <c r="G7" s="20"/>
    </row>
    <row r="8" s="2" customFormat="1" ht="53" customHeight="1" spans="1:7">
      <c r="A8" s="15">
        <v>2</v>
      </c>
      <c r="B8" s="16" t="s">
        <v>260</v>
      </c>
      <c r="C8" s="17" t="s">
        <v>367</v>
      </c>
      <c r="D8" s="17" t="s">
        <v>356</v>
      </c>
      <c r="E8" s="18" t="s">
        <v>263</v>
      </c>
      <c r="F8" s="19">
        <v>-159</v>
      </c>
      <c r="G8" s="20"/>
    </row>
    <row r="9" s="2" customFormat="1" ht="53" customHeight="1" spans="1:7">
      <c r="A9" s="15">
        <v>3</v>
      </c>
      <c r="B9" s="16" t="s">
        <v>260</v>
      </c>
      <c r="C9" s="17" t="s">
        <v>366</v>
      </c>
      <c r="D9" s="17" t="s">
        <v>356</v>
      </c>
      <c r="E9" s="18" t="s">
        <v>263</v>
      </c>
      <c r="F9" s="19">
        <v>-1960</v>
      </c>
      <c r="G9" s="20"/>
    </row>
    <row r="10" s="2" customFormat="1" ht="53" customHeight="1" spans="1:7">
      <c r="A10" s="15">
        <v>4</v>
      </c>
      <c r="B10" s="16" t="s">
        <v>260</v>
      </c>
      <c r="C10" s="17" t="s">
        <v>368</v>
      </c>
      <c r="D10" s="17" t="s">
        <v>369</v>
      </c>
      <c r="E10" s="18" t="s">
        <v>263</v>
      </c>
      <c r="F10" s="19">
        <v>-564</v>
      </c>
      <c r="G10" s="20"/>
    </row>
    <row r="11" s="2" customFormat="1" ht="53" customHeight="1" spans="1:7">
      <c r="A11" s="15">
        <v>5</v>
      </c>
      <c r="B11" s="16" t="s">
        <v>260</v>
      </c>
      <c r="C11" s="17" t="s">
        <v>370</v>
      </c>
      <c r="D11" s="17" t="s">
        <v>369</v>
      </c>
      <c r="E11" s="18" t="s">
        <v>263</v>
      </c>
      <c r="F11" s="19">
        <v>-1049</v>
      </c>
      <c r="G11" s="20"/>
    </row>
    <row r="12" s="2" customFormat="1" ht="53" customHeight="1" spans="1:7">
      <c r="A12" s="15">
        <v>6</v>
      </c>
      <c r="B12" s="16" t="s">
        <v>260</v>
      </c>
      <c r="C12" s="17" t="s">
        <v>371</v>
      </c>
      <c r="D12" s="17" t="s">
        <v>369</v>
      </c>
      <c r="E12" s="18" t="s">
        <v>263</v>
      </c>
      <c r="F12" s="19">
        <v>-1320</v>
      </c>
      <c r="G12" s="20"/>
    </row>
    <row r="13" s="2" customFormat="1" ht="53" customHeight="1" spans="1:7">
      <c r="A13" s="15">
        <v>7</v>
      </c>
      <c r="B13" s="16" t="s">
        <v>260</v>
      </c>
      <c r="C13" s="17" t="s">
        <v>372</v>
      </c>
      <c r="D13" s="17" t="s">
        <v>369</v>
      </c>
      <c r="E13" s="18" t="s">
        <v>263</v>
      </c>
      <c r="F13" s="19">
        <v>-820</v>
      </c>
      <c r="G13" s="20"/>
    </row>
    <row r="14" s="2" customFormat="1" ht="53" customHeight="1" spans="1:7">
      <c r="A14" s="15">
        <v>8</v>
      </c>
      <c r="B14" s="16" t="s">
        <v>260</v>
      </c>
      <c r="C14" s="17" t="s">
        <v>373</v>
      </c>
      <c r="D14" s="17" t="s">
        <v>369</v>
      </c>
      <c r="E14" s="18" t="s">
        <v>263</v>
      </c>
      <c r="F14" s="19">
        <v>-410</v>
      </c>
      <c r="G14" s="20"/>
    </row>
    <row r="15" s="1" customFormat="1" ht="38" customHeight="1" spans="1:7">
      <c r="A15" s="9"/>
      <c r="B15" s="13" t="s">
        <v>320</v>
      </c>
      <c r="C15" s="14"/>
      <c r="D15" s="9"/>
      <c r="E15" s="12"/>
      <c r="F15" s="12">
        <f>F16</f>
        <v>7458</v>
      </c>
      <c r="G15" s="9"/>
    </row>
    <row r="16" s="2" customFormat="1" ht="53" customHeight="1" spans="1:7">
      <c r="A16" s="15">
        <v>9</v>
      </c>
      <c r="B16" s="15" t="s">
        <v>343</v>
      </c>
      <c r="C16" s="21" t="s">
        <v>374</v>
      </c>
      <c r="D16" s="17" t="s">
        <v>348</v>
      </c>
      <c r="E16" s="18" t="s">
        <v>263</v>
      </c>
      <c r="F16" s="22">
        <v>7458</v>
      </c>
      <c r="G16" s="18"/>
    </row>
  </sheetData>
  <mergeCells count="6">
    <mergeCell ref="A2:G2"/>
    <mergeCell ref="A3:D3"/>
    <mergeCell ref="E3:G3"/>
    <mergeCell ref="B5:C5"/>
    <mergeCell ref="B6:C6"/>
    <mergeCell ref="B15:C15"/>
  </mergeCells>
  <pageMargins left="0.751388888888889" right="0.751388888888889" top="1" bottom="0.511805555555556" header="0.5" footer="0.15625"/>
  <pageSetup paperSize="9" scale="64" firstPageNumber="23" fitToHeight="0" orientation="landscape" useFirstPageNumber="1" horizontalDpi="600"/>
  <headerFooter>
    <oddFooter>&amp;C&amp;22—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1.2024年三亚市一般公共预算收支表 </vt:lpstr>
      <vt:lpstr>2.2024年三亚市政府性基金预算收支表 </vt:lpstr>
      <vt:lpstr>3.2024年三亚市市本级一般公共预算收支表</vt:lpstr>
      <vt:lpstr>4.2024年三亚市市本级政府性基金预算收支表</vt:lpstr>
      <vt:lpstr>5.第三批专项债项目调整明细表</vt:lpstr>
      <vt:lpstr>6.第二批专项债项目调整明细表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田雍</cp:lastModifiedBy>
  <dcterms:created xsi:type="dcterms:W3CDTF">2006-09-13T11:21:00Z</dcterms:created>
  <dcterms:modified xsi:type="dcterms:W3CDTF">2024-11-18T00:57:24Z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2052-10.8.0.5603</vt:lpwstr>
  </property>
  <property fmtid="{D5CDD505-2E9C-101B-9397-08002B2CF9AE}" pid="3" name="KSOReadingLayout">
    <vt:bool>false</vt:bool>
  </property>
  <property fmtid="{D5CDD505-2E9C-101B-9397-08002B2CF9AE}" pid="4" name="ICV">
    <vt:lpwstr>72E4D91D4E634EA19F29E56DCBF80C0D_13</vt:lpwstr>
  </property>
</Properties>
</file>