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1.2026年三亚市一般公共预算收支表   (2)" sheetId="2" r:id="rId1"/>
    <sheet name="2.2026年三亚市政府性基金预算收支表  (2)" sheetId="3" r:id="rId2"/>
    <sheet name="3.2026年市本级一般公共预算  (2)" sheetId="4" r:id="rId3"/>
    <sheet name="4.2026年市本级政府性基金预算  (2)" sheetId="5" r:id="rId4"/>
    <sheet name="5.提前批一般债" sheetId="8" r:id="rId5"/>
    <sheet name="6.第二批一般债" sheetId="9" r:id="rId6"/>
    <sheet name="7.提前批专项债" sheetId="6" r:id="rId7"/>
    <sheet name="8.第二批专项债" sheetId="7" r:id="rId8"/>
  </sheets>
  <externalReferences>
    <externalReference r:id="rId9"/>
    <externalReference r:id="rId10"/>
    <externalReference r:id="rId11"/>
  </externalReferences>
  <definedNames>
    <definedName name="__xlfn.COUNTIFS" hidden="1">#NAME?</definedName>
    <definedName name="AAA">#N/A</definedName>
    <definedName name="mhj">#N/A</definedName>
    <definedName name="大多数">'[2]13 铁路配件'!$A$15</definedName>
    <definedName name="飞过海">'[3]20 运输公司'!$C$4</definedName>
    <definedName name="任务分类">[1]任务!$A$1:$A$10</definedName>
    <definedName name="我">#N/A</definedName>
    <definedName name="_xlnm._FilterDatabase" localSheetId="0" hidden="1">'1.2026年三亚市一般公共预算收支表   (2)'!$A$6:$H$68</definedName>
    <definedName name="A" localSheetId="0">#REF!</definedName>
    <definedName name="Database" localSheetId="0" hidden="1">#REF!</definedName>
    <definedName name="_xlnm.Print_Area" localSheetId="0" hidden="1">'1.2026年三亚市一般公共预算收支表   (2)'!$A$1:$P$68</definedName>
    <definedName name="Print_Area_MI" localSheetId="0">#REF!</definedName>
    <definedName name="_xlnm.Print_Titles" localSheetId="0" hidden="1">'1.2026年三亚市一般公共预算收支表   (2)'!$1:$6</definedName>
    <definedName name="S" localSheetId="0">#REF!</definedName>
    <definedName name="地区名称" localSheetId="0">#REF!</definedName>
    <definedName name="饿" localSheetId="0">#REF!</definedName>
    <definedName name="吗" localSheetId="0">#REF!</definedName>
    <definedName name="洋10" localSheetId="0">#REF!</definedName>
    <definedName name="주택사업본부" localSheetId="0">#REF!</definedName>
    <definedName name="철구사업본부" localSheetId="0">#REF!</definedName>
    <definedName name="_xlnm.Print_Area" localSheetId="1" hidden="1">'2.2026年三亚市政府性基金预算收支表  (2)'!$A$1:$P$72</definedName>
    <definedName name="_xlnm.Print_Titles" localSheetId="1" hidden="1">'2.2026年三亚市政府性基金预算收支表  (2)'!$1:$6</definedName>
    <definedName name="Print_Area_MI" localSheetId="1">#REF!</definedName>
    <definedName name="地区名称" localSheetId="1">#REF!</definedName>
    <definedName name="饿" localSheetId="1">#REF!</definedName>
    <definedName name="주택사업본부" localSheetId="1">#REF!</definedName>
    <definedName name="철구사업본부" localSheetId="1">#REF!</definedName>
    <definedName name="Database" localSheetId="1" hidden="1">#REF!</definedName>
    <definedName name="洋10" localSheetId="1">#REF!</definedName>
    <definedName name="吗" localSheetId="1">#REF!</definedName>
    <definedName name="A" localSheetId="1">#REF!</definedName>
    <definedName name="S" localSheetId="1">#REF!</definedName>
    <definedName name="_xlnm._FilterDatabase" localSheetId="1" hidden="1">'2.2026年三亚市政府性基金预算收支表  (2)'!$A$6:$Q$6</definedName>
    <definedName name="_xlnm._FilterDatabase" localSheetId="2" hidden="1">'3.2026年市本级一般公共预算  (2)'!$A$6:$H$71</definedName>
    <definedName name="A" localSheetId="2">#REF!</definedName>
    <definedName name="Database" localSheetId="2" hidden="1">#REF!</definedName>
    <definedName name="_xlnm.Print_Area" localSheetId="2" hidden="1">'3.2026年市本级一般公共预算  (2)'!$A$1:$P$71</definedName>
    <definedName name="Print_Area_MI" localSheetId="2">#REF!</definedName>
    <definedName name="_xlnm.Print_Titles" localSheetId="2" hidden="1">'3.2026年市本级一般公共预算  (2)'!$1:$6</definedName>
    <definedName name="S" localSheetId="2">#REF!</definedName>
    <definedName name="地区名称" localSheetId="2">#REF!</definedName>
    <definedName name="饿" localSheetId="2">#REF!</definedName>
    <definedName name="吗" localSheetId="2">#REF!</definedName>
    <definedName name="洋10" localSheetId="2">#REF!</definedName>
    <definedName name="주택사업본부" localSheetId="2">#REF!</definedName>
    <definedName name="철구사업본부" localSheetId="2">#REF!</definedName>
    <definedName name="_xlnm.Print_Area" localSheetId="3">'4.2026年市本级政府性基金预算  (2)'!$A$1:$P$77</definedName>
    <definedName name="_xlnm.Print_Titles" localSheetId="3">'4.2026年市本级政府性基金预算  (2)'!$1:$6</definedName>
    <definedName name="Print_Area_MI" localSheetId="3">#REF!</definedName>
    <definedName name="地区名称" localSheetId="3">#REF!</definedName>
    <definedName name="饿" localSheetId="3">#REF!</definedName>
    <definedName name="주택사업본부" localSheetId="3">#REF!</definedName>
    <definedName name="철구사업본부" localSheetId="3">#REF!</definedName>
    <definedName name="Database" localSheetId="3" hidden="1">#REF!</definedName>
    <definedName name="洋10" localSheetId="3">#REF!</definedName>
    <definedName name="吗" localSheetId="3">#REF!</definedName>
    <definedName name="A" localSheetId="3">#REF!</definedName>
    <definedName name="S" localSheetId="3">#REF!</definedName>
    <definedName name="_xlnm._FilterDatabase" localSheetId="3" hidden="1">'4.2026年市本级政府性基金预算  (2)'!$A$6:$H$77</definedName>
    <definedName name="_xlnm._FilterDatabase" localSheetId="6" hidden="1">'7.提前批专项债'!$A$58:$F$91</definedName>
    <definedName name="_xlnm._FilterDatabase" localSheetId="7" hidden="1">'8.第二批专项债'!$A$19:$F$36</definedName>
    <definedName name="_xlnm._FilterDatabase" localSheetId="4" hidden="1">'5.提前批一般债'!$A$10:$F$24</definedName>
    <definedName name="_xlnm._FilterDatabase" localSheetId="5" hidden="1">'6.第二批一般债'!$A$11:$F$15</definedName>
    <definedName name="_xlnm.Print_Titles" localSheetId="4">'5.提前批一般债'!$4:$4</definedName>
    <definedName name="_xlnm.Print_Titles" localSheetId="6">'7.提前批专项债'!$4:$4</definedName>
    <definedName name="_xlnm.Print_Titles" localSheetId="7">'8.第二批专项债'!$4:$4</definedName>
  </definedNames>
  <calcPr calcId="144525"/>
</workbook>
</file>

<file path=xl/comments1.xml><?xml version="1.0" encoding="utf-8"?>
<comments xmlns="http://schemas.openxmlformats.org/spreadsheetml/2006/main">
  <authors>
    <author>王晟楠</author>
  </authors>
  <commentList>
    <comment ref="L7" authorId="0">
      <text>
        <r>
          <rPr>
            <sz val="9"/>
            <rFont val="宋体"/>
            <charset val="134"/>
          </rPr>
          <t>王晟楠:
汪兰预计线上支出</t>
        </r>
      </text>
    </comment>
    <comment ref="M7" authorId="0">
      <text>
        <r>
          <rPr>
            <sz val="9"/>
            <rFont val="宋体"/>
            <charset val="134"/>
          </rPr>
          <t>王晟楠:
加各区142353万支出</t>
        </r>
      </text>
    </comment>
    <comment ref="N7" authorId="0">
      <text>
        <r>
          <rPr>
            <sz val="9"/>
            <rFont val="宋体"/>
            <charset val="134"/>
          </rPr>
          <t>王晟楠:
加各区142353万支出</t>
        </r>
      </text>
    </comment>
    <comment ref="D12" authorId="0">
      <text>
        <r>
          <rPr>
            <sz val="9"/>
            <rFont val="宋体"/>
            <charset val="134"/>
          </rPr>
          <t>王晟楠:
=1244960.47+46743.27+2488.79-17203.8+1659.9</t>
        </r>
      </text>
    </comment>
    <comment ref="E14" authorId="0">
      <text>
        <r>
          <rPr>
            <sz val="9"/>
            <rFont val="宋体"/>
            <charset val="134"/>
          </rPr>
          <t xml:space="preserve">王晟楠:
截止10月2600
</t>
        </r>
      </text>
    </comment>
    <comment ref="F14" authorId="0">
      <text>
        <r>
          <rPr>
            <sz val="9"/>
            <rFont val="宋体"/>
            <charset val="134"/>
          </rPr>
          <t xml:space="preserve">王晟楠:
截止10月2600
</t>
        </r>
      </text>
    </comment>
    <comment ref="M38" authorId="0">
      <text>
        <r>
          <rPr>
            <b/>
            <sz val="9"/>
            <rFont val="宋体"/>
            <charset val="134"/>
          </rPr>
          <t>王晟楠:</t>
        </r>
        <r>
          <rPr>
            <sz val="9"/>
            <rFont val="宋体"/>
            <charset val="134"/>
          </rPr>
          <t xml:space="preserve">
吉阳311，天涯877</t>
        </r>
      </text>
    </comment>
    <comment ref="N38" authorId="0">
      <text>
        <r>
          <rPr>
            <b/>
            <sz val="9"/>
            <rFont val="宋体"/>
            <charset val="134"/>
          </rPr>
          <t>王晟楠:</t>
        </r>
        <r>
          <rPr>
            <sz val="9"/>
            <rFont val="宋体"/>
            <charset val="134"/>
          </rPr>
          <t xml:space="preserve">
吉阳311，天涯877</t>
        </r>
      </text>
    </comment>
    <comment ref="M42" authorId="0">
      <text>
        <r>
          <rPr>
            <b/>
            <sz val="9"/>
            <rFont val="宋体"/>
            <charset val="134"/>
          </rPr>
          <t>王晟楠:</t>
        </r>
        <r>
          <rPr>
            <sz val="9"/>
            <rFont val="宋体"/>
            <charset val="134"/>
          </rPr>
          <t xml:space="preserve">
区级845万元</t>
        </r>
      </text>
    </comment>
    <comment ref="N42" authorId="0">
      <text>
        <r>
          <rPr>
            <b/>
            <sz val="9"/>
            <rFont val="宋体"/>
            <charset val="134"/>
          </rPr>
          <t>王晟楠:</t>
        </r>
        <r>
          <rPr>
            <sz val="9"/>
            <rFont val="宋体"/>
            <charset val="134"/>
          </rPr>
          <t xml:space="preserve">
区级845万元</t>
        </r>
      </text>
    </comment>
    <comment ref="M43" authorId="0">
      <text>
        <r>
          <rPr>
            <b/>
            <sz val="9"/>
            <rFont val="宋体"/>
            <charset val="134"/>
          </rPr>
          <t>王晟楠:</t>
        </r>
        <r>
          <rPr>
            <sz val="9"/>
            <rFont val="宋体"/>
            <charset val="134"/>
          </rPr>
          <t xml:space="preserve">
区级1574</t>
        </r>
      </text>
    </comment>
    <comment ref="N43" authorId="0">
      <text>
        <r>
          <rPr>
            <b/>
            <sz val="9"/>
            <rFont val="宋体"/>
            <charset val="134"/>
          </rPr>
          <t>王晟楠:</t>
        </r>
        <r>
          <rPr>
            <sz val="9"/>
            <rFont val="宋体"/>
            <charset val="134"/>
          </rPr>
          <t xml:space="preserve">
区级1574</t>
        </r>
      </text>
    </comment>
    <comment ref="M71" authorId="0">
      <text>
        <r>
          <rPr>
            <sz val="9"/>
            <rFont val="宋体"/>
            <charset val="134"/>
          </rPr>
          <t>王晟楠:
排完支出，剩余放结转</t>
        </r>
      </text>
    </comment>
    <comment ref="N71" authorId="0">
      <text>
        <r>
          <rPr>
            <sz val="9"/>
            <rFont val="宋体"/>
            <charset val="134"/>
          </rPr>
          <t>王晟楠:
排完支出，剩余放结转</t>
        </r>
      </text>
    </comment>
  </commentList>
</comments>
</file>

<file path=xl/comments2.xml><?xml version="1.0" encoding="utf-8"?>
<comments xmlns="http://schemas.openxmlformats.org/spreadsheetml/2006/main">
  <authors>
    <author>王晟楠</author>
  </authors>
  <commentList>
    <comment ref="L71" authorId="0">
      <text>
        <r>
          <rPr>
            <sz val="9"/>
            <rFont val="宋体"/>
            <charset val="134"/>
          </rPr>
          <t>王晟楠:
市级财力还本减少，0.37亿加到安排稳调</t>
        </r>
      </text>
    </comment>
  </commentList>
</comments>
</file>

<file path=xl/comments3.xml><?xml version="1.0" encoding="utf-8"?>
<comments xmlns="http://schemas.openxmlformats.org/spreadsheetml/2006/main">
  <authors>
    <author>王晟楠</author>
  </authors>
  <commentList>
    <comment ref="J7" authorId="0">
      <text>
        <r>
          <rPr>
            <sz val="9"/>
            <rFont val="宋体"/>
            <charset val="134"/>
          </rPr>
          <t>王晟楠:
加各区142353万支出</t>
        </r>
      </text>
    </comment>
    <comment ref="K7" authorId="0">
      <text>
        <r>
          <rPr>
            <sz val="9"/>
            <rFont val="宋体"/>
            <charset val="134"/>
          </rPr>
          <t>王晟楠:
加各区142353万支出</t>
        </r>
      </text>
    </comment>
    <comment ref="L7" authorId="0">
      <text>
        <r>
          <rPr>
            <sz val="9"/>
            <rFont val="宋体"/>
            <charset val="134"/>
          </rPr>
          <t>王晟楠:
加各区142353万支出</t>
        </r>
      </text>
    </comment>
    <comment ref="M7" authorId="0">
      <text>
        <r>
          <rPr>
            <sz val="9"/>
            <rFont val="宋体"/>
            <charset val="134"/>
          </rPr>
          <t>王晟楠:
加各区142353万支出</t>
        </r>
      </text>
    </comment>
    <comment ref="N7" authorId="0">
      <text>
        <r>
          <rPr>
            <sz val="9"/>
            <rFont val="宋体"/>
            <charset val="134"/>
          </rPr>
          <t>王晟楠:
加各区142353万支出</t>
        </r>
      </text>
    </comment>
    <comment ref="D12" authorId="0">
      <text>
        <r>
          <rPr>
            <sz val="9"/>
            <rFont val="宋体"/>
            <charset val="134"/>
          </rPr>
          <t>王晟楠:
=1244960.47+46743.27+2488.79-17203.8+1659.9</t>
        </r>
      </text>
    </comment>
    <comment ref="M76" authorId="0">
      <text>
        <r>
          <rPr>
            <sz val="9"/>
            <rFont val="宋体"/>
            <charset val="134"/>
          </rPr>
          <t>王晟楠:
排完支出，剩余放结转</t>
        </r>
      </text>
    </comment>
    <comment ref="N76" authorId="0">
      <text>
        <r>
          <rPr>
            <sz val="9"/>
            <rFont val="宋体"/>
            <charset val="134"/>
          </rPr>
          <t>王晟楠:
排完支出，剩余放结转</t>
        </r>
      </text>
    </comment>
    <comment ref="L77" authorId="0">
      <text>
        <r>
          <rPr>
            <sz val="9"/>
            <rFont val="宋体"/>
            <charset val="134"/>
          </rPr>
          <t>王晟楠:
本来有5.9亿额外结余，加到国有出让土地收入了</t>
        </r>
      </text>
    </comment>
  </commentList>
</comments>
</file>

<file path=xl/sharedStrings.xml><?xml version="1.0" encoding="utf-8"?>
<sst xmlns="http://schemas.openxmlformats.org/spreadsheetml/2006/main" count="1098" uniqueCount="424">
  <si>
    <t>附件</t>
  </si>
  <si>
    <t>2026年三亚市一般公共预算收支调整表</t>
  </si>
  <si>
    <t>金额单位：万元</t>
  </si>
  <si>
    <t>收                            入</t>
  </si>
  <si>
    <t>支                       出</t>
  </si>
  <si>
    <t>项              目</t>
  </si>
  <si>
    <t>2025年预算数</t>
  </si>
  <si>
    <t>2025年预算调整数</t>
  </si>
  <si>
    <t>2025年执行数</t>
  </si>
  <si>
    <t>2026年预算数</t>
  </si>
  <si>
    <t>2026年调整预算数</t>
  </si>
  <si>
    <t>调整后比年度预算增减额</t>
  </si>
  <si>
    <t>调整后完成年度预算%</t>
  </si>
  <si>
    <t>项        目</t>
  </si>
  <si>
    <t>一、地方一般公共预算收入</t>
  </si>
  <si>
    <t>一、地方一般公共预算支出</t>
  </si>
  <si>
    <t>（一）税收收入</t>
  </si>
  <si>
    <t>（一）一般公共服务支出</t>
  </si>
  <si>
    <t>1.增值税</t>
  </si>
  <si>
    <t>（二）外交支出</t>
  </si>
  <si>
    <t>2.企业所得税</t>
  </si>
  <si>
    <t>（三）国防支出</t>
  </si>
  <si>
    <t>3.个人所得税</t>
  </si>
  <si>
    <t>（四）公共安全支出</t>
  </si>
  <si>
    <t>4.资源税</t>
  </si>
  <si>
    <t>（五）教育支出</t>
  </si>
  <si>
    <t>5.城市维护建设税</t>
  </si>
  <si>
    <t>（六）科学技术支出</t>
  </si>
  <si>
    <t>6.房产税</t>
  </si>
  <si>
    <t>（七）文化旅游体育与传媒支出</t>
  </si>
  <si>
    <t>7.印花税</t>
  </si>
  <si>
    <t>（八）社会保障和就业支出</t>
  </si>
  <si>
    <t>8.城镇土地使用税</t>
  </si>
  <si>
    <t>（九）卫生健康支出</t>
  </si>
  <si>
    <t>9.土地增值税</t>
  </si>
  <si>
    <t>（十）节能环保支出</t>
  </si>
  <si>
    <t>10.车船税</t>
  </si>
  <si>
    <t>（十一）城乡社区支出</t>
  </si>
  <si>
    <t>11.耕地占用税</t>
  </si>
  <si>
    <t>（十二）农林水支出</t>
  </si>
  <si>
    <t>12.契税</t>
  </si>
  <si>
    <t>（十三）交通运输支出</t>
  </si>
  <si>
    <t>13.环境保护税</t>
  </si>
  <si>
    <t>（十四）资源勘探工业信息等支出</t>
  </si>
  <si>
    <t>14.其他税收</t>
  </si>
  <si>
    <t>（十五）商业服务业等支出</t>
  </si>
  <si>
    <t>（二）非税收入</t>
  </si>
  <si>
    <t>（十六）金融支出</t>
  </si>
  <si>
    <t>1.专项收入</t>
  </si>
  <si>
    <t>（十七）自然资源海洋气象等支出</t>
  </si>
  <si>
    <t>2.行政事业性收费收入</t>
  </si>
  <si>
    <t>（十八）住房保障支出</t>
  </si>
  <si>
    <t>3.罚没收入</t>
  </si>
  <si>
    <t>（十九）粮油物资储备支出</t>
  </si>
  <si>
    <t>4.国有资本经营收入</t>
  </si>
  <si>
    <t>（二十）灾害防治及应急管理支出</t>
  </si>
  <si>
    <t>5.国有资源(资产)有偿使用收入</t>
  </si>
  <si>
    <t>（二十一）其他支出</t>
  </si>
  <si>
    <t>6.捐赠收入</t>
  </si>
  <si>
    <t>（二十二）债务付息支出</t>
  </si>
  <si>
    <t>7.政府住房基金收入</t>
  </si>
  <si>
    <t>（二十三）债务发行费用支出</t>
  </si>
  <si>
    <t>8.其他收入</t>
  </si>
  <si>
    <t>二、预备费</t>
  </si>
  <si>
    <t>二、债务转贷收入</t>
  </si>
  <si>
    <t>三、债务还本支出</t>
  </si>
  <si>
    <t>（一）地方政府一般债券转贷收入</t>
  </si>
  <si>
    <t>（一）地方政府一般债券还本支出</t>
  </si>
  <si>
    <t>（二）地方政府向国际组织借款转贷收入</t>
  </si>
  <si>
    <t>（二）地方政府其他一般债务还本支出</t>
  </si>
  <si>
    <t>（三）地方政府其他一般债务转贷收入</t>
  </si>
  <si>
    <t>（四）地方政府再融资债券转贷收入</t>
  </si>
  <si>
    <t>三、转移性收入</t>
  </si>
  <si>
    <t>四、转移性支出</t>
  </si>
  <si>
    <t>（一）上级补助收入</t>
  </si>
  <si>
    <t>（一）上解上级支出</t>
  </si>
  <si>
    <t xml:space="preserve">1.返还性收入 </t>
  </si>
  <si>
    <t>1.体制上解支出</t>
  </si>
  <si>
    <t>（1）所得税基数返还收入</t>
  </si>
  <si>
    <t>2.专项上解支出</t>
  </si>
  <si>
    <t>（2）成品油税费改革税收返还收入</t>
  </si>
  <si>
    <t>（二）援助其他地区支出</t>
  </si>
  <si>
    <t xml:space="preserve">（3）增值税税收返还收入 </t>
  </si>
  <si>
    <t>（三）调出资金</t>
  </si>
  <si>
    <t xml:space="preserve">（4）消费税税收返还收入 </t>
  </si>
  <si>
    <t>（四）安排预算稳定调节基金</t>
  </si>
  <si>
    <t>（5）增值税“五五分享”税收返还收入</t>
  </si>
  <si>
    <t>（五）年终结余</t>
  </si>
  <si>
    <t>2.一般性转移支付收入</t>
  </si>
  <si>
    <t>（1）均衡性转移支付收入</t>
  </si>
  <si>
    <t>（2）县级基本财力保障机制奖补资金收入</t>
  </si>
  <si>
    <t>（3）结算补助收入</t>
  </si>
  <si>
    <t>（4）资源枯竭型城市转移支付补助收入</t>
  </si>
  <si>
    <t>（5）产粮（油）大县奖励资金收入</t>
  </si>
  <si>
    <t>（6）重点生态功能区转移支付收入</t>
  </si>
  <si>
    <t>（7）固定数额补助收入</t>
  </si>
  <si>
    <t>（8）革命老区转移支付收入</t>
  </si>
  <si>
    <t>（9）民族地区转移支付收入</t>
  </si>
  <si>
    <t>（10）边境地区转移支付收入</t>
  </si>
  <si>
    <t>（11）巩固脱贫攻坚成果衔接乡村振兴转移支付收入</t>
  </si>
  <si>
    <t>（12）共同财政事权转移支付收入</t>
  </si>
  <si>
    <t>（13）增值税留抵退税转移支付收入</t>
  </si>
  <si>
    <t>（14）其他退税减税降费转移支付收入</t>
  </si>
  <si>
    <t>（15）补充县区财力转移支付收入</t>
  </si>
  <si>
    <t>（16）其他一般性转移支付收入</t>
  </si>
  <si>
    <t>3.专项转移支付收入</t>
  </si>
  <si>
    <t>（二）上年结余收入</t>
  </si>
  <si>
    <t>（三）调入资金</t>
  </si>
  <si>
    <t>（四）动用预算稳定调节基金</t>
  </si>
  <si>
    <t>收  入  总  计</t>
  </si>
  <si>
    <t>支  出  总  计</t>
  </si>
  <si>
    <t>2026年三亚市政府性基金预算收支调整表</t>
  </si>
  <si>
    <t>一、地方政府性基金预算收入</t>
  </si>
  <si>
    <t>一、地方政府性基金预算支出</t>
  </si>
  <si>
    <t>（一）海南省高等级公路车辆通行附加费收入</t>
  </si>
  <si>
    <t>（一）文化旅游体育与传媒支出</t>
  </si>
  <si>
    <t>（二）国家电影事业发展专项资金收入</t>
  </si>
  <si>
    <t xml:space="preserve">     国家电影事业发展专项资金安排的支出</t>
  </si>
  <si>
    <t>（三）国有土地收益基金收入</t>
  </si>
  <si>
    <t xml:space="preserve">     旅游发展基金支出</t>
  </si>
  <si>
    <t>（四）农业土地开发资金收入</t>
  </si>
  <si>
    <t>（二）城乡社区支出</t>
  </si>
  <si>
    <t>（五）国有土地使用权出让收入</t>
  </si>
  <si>
    <t xml:space="preserve">     国有土地使用权出让收入安排的支出</t>
  </si>
  <si>
    <t>（六）大中型水库库区基金收入</t>
  </si>
  <si>
    <t xml:space="preserve">     国有土地收益基金安排的支出</t>
  </si>
  <si>
    <t>（七）彩票公益金收入</t>
  </si>
  <si>
    <t xml:space="preserve">     农业土地开发资金安排的支出</t>
  </si>
  <si>
    <t>（八）城市基础设施配套费收入</t>
  </si>
  <si>
    <t xml:space="preserve">     城市基础设施配套费安排的支出</t>
  </si>
  <si>
    <t>（九）小型水库移民扶助基金收入</t>
  </si>
  <si>
    <t xml:space="preserve">     污水处理费安排的支出</t>
  </si>
  <si>
    <t>（十）国家重大水利工程建设基金收入</t>
  </si>
  <si>
    <t xml:space="preserve">     土地储备专项债券收入安排的支出</t>
  </si>
  <si>
    <t>（十一）污水处理费收入</t>
  </si>
  <si>
    <t xml:space="preserve">     棚户区改造专项债券收入安排的支出</t>
  </si>
  <si>
    <t>（十二）彩票发行机构和彩票销售机构的业务费用</t>
  </si>
  <si>
    <t xml:space="preserve">     污水处理费对应专项债务收入安排的支出</t>
  </si>
  <si>
    <t>（十三）其他政府性基金收入</t>
  </si>
  <si>
    <t xml:space="preserve">     国有土地使用权出让收入对应专项债务收入安排的支出</t>
  </si>
  <si>
    <t>（十四）专项债务对应项目专项收入</t>
  </si>
  <si>
    <t xml:space="preserve">     超长期特别国债安排的支出</t>
  </si>
  <si>
    <t xml:space="preserve">        其他地方自行试点项目收益专项债券对应项目专项收入</t>
  </si>
  <si>
    <t>（三）节能环保支出</t>
  </si>
  <si>
    <t>（四）农林水支出</t>
  </si>
  <si>
    <t xml:space="preserve">     大中型水库库区基金安排的支出</t>
  </si>
  <si>
    <t xml:space="preserve">     国家重大水利工程建设基金安排的支出</t>
  </si>
  <si>
    <t xml:space="preserve">     大中型水库移民后期扶持基金支出</t>
  </si>
  <si>
    <t xml:space="preserve">     小型水库移民扶助基金安排的支出</t>
  </si>
  <si>
    <t xml:space="preserve">     小型水库移民扶助基金对应专项债务收入安排的支出</t>
  </si>
  <si>
    <t>（五）交通运输支出</t>
  </si>
  <si>
    <t xml:space="preserve">     海南省高等级公路车辆通行附加费安排的支出</t>
  </si>
  <si>
    <t xml:space="preserve">     民航发展基金支出</t>
  </si>
  <si>
    <t xml:space="preserve">     海南省高等级公路车辆通行附加费对应专项债务收入安排的支出</t>
  </si>
  <si>
    <t>（六）资源勘探工业信息等支出</t>
  </si>
  <si>
    <t>（七）住房保障支出</t>
  </si>
  <si>
    <t>（八）其他支出</t>
  </si>
  <si>
    <t xml:space="preserve">     其他政府性基金及对应专项债务收入安排的支出</t>
  </si>
  <si>
    <t xml:space="preserve">     彩票发行销售机构业务费安排的支出</t>
  </si>
  <si>
    <t xml:space="preserve">     彩票公益金安排的支出</t>
  </si>
  <si>
    <t xml:space="preserve">     超长期特别国债安排的其他支出</t>
  </si>
  <si>
    <t xml:space="preserve">（九）地方政府专项债务付息支出  </t>
  </si>
  <si>
    <t xml:space="preserve">     海南省高等级公路车辆通行附加费债务付息支出</t>
  </si>
  <si>
    <t xml:space="preserve">     国有土地使用权出让金债务付息支出</t>
  </si>
  <si>
    <t xml:space="preserve">     土地储备专项债券付息支出</t>
  </si>
  <si>
    <t xml:space="preserve">     棚户区改造专项债券付息支出</t>
  </si>
  <si>
    <t xml:space="preserve">     其他地方自行试点项目收益专项债券付息支出</t>
  </si>
  <si>
    <t xml:space="preserve">     其他政府性基金债务付息支出</t>
  </si>
  <si>
    <t>（十）地方政府专项债务发行费用支出</t>
  </si>
  <si>
    <t xml:space="preserve">     海南省高等级公路车辆通行附加费债务发行费用支出</t>
  </si>
  <si>
    <t xml:space="preserve">     国有土地使用权出让金债务发行费用支出</t>
  </si>
  <si>
    <t xml:space="preserve">     土地储备专项债券发行费用支出</t>
  </si>
  <si>
    <t xml:space="preserve">     棚户区改造专项债券发行费用支出</t>
  </si>
  <si>
    <t xml:space="preserve">     其他地方自行试点项目收益专项债券发行费用支出</t>
  </si>
  <si>
    <t xml:space="preserve">     其他政府性基金债务发行费用支出</t>
  </si>
  <si>
    <t>（九）抗疫特别国债安排的支出</t>
  </si>
  <si>
    <t xml:space="preserve">     基础设施建设</t>
  </si>
  <si>
    <t xml:space="preserve">     抗疫相关支出</t>
  </si>
  <si>
    <t>二、债务还本支出</t>
  </si>
  <si>
    <t>（一）海南省高等级公路车辆通行附加费债务收入</t>
  </si>
  <si>
    <t>（一）海南省高等级公路车辆通行附加费债务还本支出</t>
  </si>
  <si>
    <t>（二）国有土地使用权出让金债务收入</t>
  </si>
  <si>
    <t>（二）国有土地使用权出让金债务还本支出</t>
  </si>
  <si>
    <t>（三）土地储备专项债券收入</t>
  </si>
  <si>
    <t>（三）土地储备专项债券还本支出</t>
  </si>
  <si>
    <t>（四）棚户区改造专项债券收入</t>
  </si>
  <si>
    <t>（四）棚户区改造专项债券还本支出</t>
  </si>
  <si>
    <t>（五）其他地方自行试点项目收益专项债券收入</t>
  </si>
  <si>
    <t>（五）其他地方自行试点项目收益专项债券还本支出</t>
  </si>
  <si>
    <t>（六）地方政府再融资债券转贷收入</t>
  </si>
  <si>
    <t>（六）其他政府性基金债务还本支出</t>
  </si>
  <si>
    <t>三、转移性支出</t>
  </si>
  <si>
    <t>（一）政府性基金转移支付收入</t>
  </si>
  <si>
    <t>（一）政府性基金上解支出</t>
  </si>
  <si>
    <t>（二）调出资金</t>
  </si>
  <si>
    <t>（三）年终结余结转</t>
  </si>
  <si>
    <t>2026年三亚市市本级一般公共预算收支调整表</t>
  </si>
  <si>
    <t>（一）补助区级支出</t>
  </si>
  <si>
    <t>1.返还性支出</t>
  </si>
  <si>
    <t>2.一般性转移支付</t>
  </si>
  <si>
    <t>（1）均衡性转移支付支出</t>
  </si>
  <si>
    <t>（2）县级基本财力保障机制奖补资金支出</t>
  </si>
  <si>
    <t>（3）结算补助支出</t>
  </si>
  <si>
    <t>（4）资源枯竭型城市转移支付补助支出</t>
  </si>
  <si>
    <t>（5）产粮（油）大县奖励资金支出</t>
  </si>
  <si>
    <t>（6）重点生态功能区转移支付支出</t>
  </si>
  <si>
    <t>（7）固定数额补助支出</t>
  </si>
  <si>
    <t>（8）革命老区转移支付支出</t>
  </si>
  <si>
    <t>（9）民族地区转移支付支出</t>
  </si>
  <si>
    <t>（10）边境地区转移支付支出</t>
  </si>
  <si>
    <t>（11）巩固脱贫攻坚成果衔接乡村振兴转移支付支出</t>
  </si>
  <si>
    <t>（12）共同财政事权转移支付支出</t>
  </si>
  <si>
    <t>（13）增值税留抵退税转移支付支出</t>
  </si>
  <si>
    <t>（14）其他退税减税降费转移支付支出</t>
  </si>
  <si>
    <t>（15）补充县区财力转移支付支出</t>
  </si>
  <si>
    <t>（16）其他一般性转移支付支出</t>
  </si>
  <si>
    <t>3.专项转移支付</t>
  </si>
  <si>
    <t>（二）上解省级支出</t>
  </si>
  <si>
    <t xml:space="preserve">  1.体制上解支出</t>
  </si>
  <si>
    <t xml:space="preserve">  2.专项上解支出</t>
  </si>
  <si>
    <t>（三）援助其他地区支出</t>
  </si>
  <si>
    <t>（四）调出资金</t>
  </si>
  <si>
    <t>（二）区级上解收入</t>
  </si>
  <si>
    <t>（五）安排预算稳定调节基金</t>
  </si>
  <si>
    <t xml:space="preserve">  1.体制上解收入</t>
  </si>
  <si>
    <t>（六）地方政府一般债务转贷支出</t>
  </si>
  <si>
    <t xml:space="preserve">  2.专项上解收入</t>
  </si>
  <si>
    <t>1.地方政府一般债券转贷支出</t>
  </si>
  <si>
    <t>（三）上年结余收入</t>
  </si>
  <si>
    <t>2.地方政府其他一般债务转贷支出</t>
  </si>
  <si>
    <t>（四）调入资金</t>
  </si>
  <si>
    <t>（七）年终结余</t>
  </si>
  <si>
    <t>（五）动用预算稳定调节基金</t>
  </si>
  <si>
    <t>2026年三亚市市本级政府性基金预算收支调整表</t>
  </si>
  <si>
    <t>（一）政府性基金转移支付支出</t>
  </si>
  <si>
    <t>（二）市县上解收入</t>
  </si>
  <si>
    <t>（二）上解上级支出</t>
  </si>
  <si>
    <t>（四）债务转贷支出</t>
  </si>
  <si>
    <t>国有土地使用权出让金债务转贷支出</t>
  </si>
  <si>
    <t>土地储备专项债券转贷支出</t>
  </si>
  <si>
    <t>棚户区改造专项债券转贷支出</t>
  </si>
  <si>
    <t>其他地方自行试点项目收益专项债券转贷支出</t>
  </si>
  <si>
    <t>其他政府性基金债务收入安排的支出</t>
  </si>
  <si>
    <t>其他政府性基金债务还本转贷支出</t>
  </si>
  <si>
    <t>（五）年终结余结转</t>
  </si>
  <si>
    <t>2026年提前批一般债券项目调整明细表</t>
  </si>
  <si>
    <t>单位：万元</t>
  </si>
  <si>
    <t>序号</t>
  </si>
  <si>
    <t>区划</t>
  </si>
  <si>
    <t>管理单位</t>
  </si>
  <si>
    <t>项目名称</t>
  </si>
  <si>
    <t>安排金额</t>
  </si>
  <si>
    <t>支出功能分类</t>
  </si>
  <si>
    <t>合计</t>
  </si>
  <si>
    <t>市本级</t>
  </si>
  <si>
    <t>三亚市本级</t>
  </si>
  <si>
    <t>三亚市旅游和文化广电体育局</t>
  </si>
  <si>
    <t>三亚市文化中心（市博物馆、市综合档案馆）项目</t>
  </si>
  <si>
    <t>2079999-其他文化旅游体育与传媒支出</t>
  </si>
  <si>
    <t>三亚市教育局</t>
  </si>
  <si>
    <t>苏州中学附属三亚学校项目</t>
  </si>
  <si>
    <t>2050203-初中教育</t>
  </si>
  <si>
    <t>三亚市海棠湾开发建设有限公司</t>
  </si>
  <si>
    <t>海棠湾C6片区（6号路以北）路网工程二期</t>
  </si>
  <si>
    <t>2120303-小城镇基础设施建设</t>
  </si>
  <si>
    <t>区级合计</t>
  </si>
  <si>
    <t>海棠区</t>
  </si>
  <si>
    <t>三亚市海棠区教育局</t>
  </si>
  <si>
    <t>进士学校项目</t>
  </si>
  <si>
    <t>林旺中学工程项目</t>
  </si>
  <si>
    <t>三亚海棠湾投资控股有限公司</t>
  </si>
  <si>
    <t>三亚市现代服务业产业园基础设施配套椰风路二期项目</t>
  </si>
  <si>
    <t>吉阳区</t>
  </si>
  <si>
    <t>三亚城投置业有限公司</t>
  </si>
  <si>
    <t>三亚市防灾减灾实战实训基础设施建设项目</t>
  </si>
  <si>
    <t>三亚城市投资建设集团有限公司</t>
  </si>
  <si>
    <t>迎宾路与丹州北路交叉口改造项目</t>
  </si>
  <si>
    <t>三亚市森海路、南丁岭路市政道路工程项目</t>
  </si>
  <si>
    <t>天涯区</t>
  </si>
  <si>
    <t>三亚里大道续建工程</t>
  </si>
  <si>
    <t>三亚天涯区交通运输局</t>
  </si>
  <si>
    <t>三亚红塘湾临空商贸区项目整改工程</t>
  </si>
  <si>
    <t>三亚市天涯区教育局</t>
  </si>
  <si>
    <t>三亚市天涯中学（三期）项目</t>
  </si>
  <si>
    <t>2050204-高中教育</t>
  </si>
  <si>
    <t>三亚市天涯区住房和城乡建设局</t>
  </si>
  <si>
    <t>凤凰片区雨污分流、管线下地整治工程</t>
  </si>
  <si>
    <t>崖州区</t>
  </si>
  <si>
    <t>三亚市崖州区教育局</t>
  </si>
  <si>
    <t>三亚市崖州区梅山九年一贯制学校改造提升工程项目</t>
  </si>
  <si>
    <t>三亚崖州湾科技城开发建设有限公司</t>
  </si>
  <si>
    <t>三亚崖州湾科技城南滨九年一贯制学校项目</t>
  </si>
  <si>
    <t>2050299-其他普通教育支出</t>
  </si>
  <si>
    <t>三亚市崖州区城东小学改造提升项目</t>
  </si>
  <si>
    <t>2050202-小学教育</t>
  </si>
  <si>
    <t>南繁硅谷重大科创平台项目（一期）</t>
  </si>
  <si>
    <t>2129999-其他城乡社区支出</t>
  </si>
  <si>
    <t>2026年第二批一般债券项目调整明细表</t>
  </si>
  <si>
    <t>三亚市交通运输局</t>
  </si>
  <si>
    <t>三亚绕城高速凤凰机场互通及连接线工程</t>
  </si>
  <si>
    <t>2140104-公路建设</t>
  </si>
  <si>
    <t>三亚市龙岭北路市政工程（红沙隧道入口至春光路连接段）项目</t>
  </si>
  <si>
    <t>三亚交通建设管理有限公司</t>
  </si>
  <si>
    <t>国道G225塔岭至海角段改扩建工程项目一期</t>
  </si>
  <si>
    <t>三亚市第一中学改造项目</t>
  </si>
  <si>
    <t>2050203-初中教育
2050204-高中教育</t>
  </si>
  <si>
    <t>南繁硅谷重大科创平台项目（一期）坝头洋示范先行区</t>
  </si>
  <si>
    <t>2026年提前批专项债券项目调整明细表</t>
  </si>
  <si>
    <t>三亚市卫生健康委员会</t>
  </si>
  <si>
    <t>“大三亚”120急救体系建设项目</t>
  </si>
  <si>
    <t>2290402-其他地方自行试点项目收益专项债券收入安排的支出</t>
  </si>
  <si>
    <t>三亚国际体育产业园110KV电力迁改工程涉高铁段工程项目</t>
  </si>
  <si>
    <t>三亚崖州湾科技城车联网先导区建设项目</t>
  </si>
  <si>
    <t>三亚崖州湾科技城深海与南繁科技数字化支撑平台项目</t>
  </si>
  <si>
    <t>三亚市住房和城乡建设局</t>
  </si>
  <si>
    <t>三亚市抱坡片区棚户区改造项目</t>
  </si>
  <si>
    <t>三亚市妇幼保健院</t>
  </si>
  <si>
    <t>三亚市妇幼保健院二期项目</t>
  </si>
  <si>
    <t>三亚口腔医学中心</t>
  </si>
  <si>
    <t>北京大学口腔医院三亚分院项目</t>
  </si>
  <si>
    <t>三亚环境农业投资集团有限公司</t>
  </si>
  <si>
    <t>三亚市中心城区智慧排水系统建设项目</t>
  </si>
  <si>
    <t>三亚崖州湾科技城综合医院</t>
  </si>
  <si>
    <t>三亚南山港公共科考码头工程项目</t>
  </si>
  <si>
    <t>三亚崖州湾深海科技城智慧综合能源服务项目</t>
  </si>
  <si>
    <t>三亚崖州湾深海科技城棚户区安置项目（二期）</t>
  </si>
  <si>
    <t>三亚市崖州区南滨医院改扩建项目</t>
  </si>
  <si>
    <t>种业创新中心项目</t>
  </si>
  <si>
    <t>三亚崖州湾科技城离岸科研综合楼项目</t>
  </si>
  <si>
    <t>国家耐盐碱水稻技术创新合作平台项目</t>
  </si>
  <si>
    <t>国家级非人灵长类种质资源与模型研发中心</t>
  </si>
  <si>
    <t>海南兽医公共卫生研究中心建设项目</t>
  </si>
  <si>
    <t>三亚市崖州区图书馆、文化馆、体育馆工程</t>
  </si>
  <si>
    <t>三亚崖州湾科技城实验动物公共服务平台项目</t>
  </si>
  <si>
    <t>三亚市崖州中心渔港片区路网建设二期工程</t>
  </si>
  <si>
    <t>三亚市崖州中心渔港片区路网建设三期工程</t>
  </si>
  <si>
    <t>三亚崖州火车站站房改扩建及站前广场提升改造工程项目</t>
  </si>
  <si>
    <t>热带大农业生态系统长期观测研究中心项目</t>
  </si>
  <si>
    <t>南京农业大学大豆园艺作物种质创新中心项目</t>
  </si>
  <si>
    <t>三亚港南山港区货运码头二期工程项目</t>
  </si>
  <si>
    <t>三亚南山热带优异果蔬资源保护基地项目</t>
  </si>
  <si>
    <t>三亚崖州湾科技城南繁育种科技服务中心项目</t>
  </si>
  <si>
    <t>崖州果蔬综合批发市场（一期）项目</t>
  </si>
  <si>
    <t>三亚崖州湾科技城水声计量检测中心项目</t>
  </si>
  <si>
    <t>三亚崖州湾科技城生物科技创新实验室共享平台项目</t>
  </si>
  <si>
    <t>三亚崖州湾科技城晒经坡路及南繁路延伸基础设施配套工程</t>
  </si>
  <si>
    <t>三亚崖州湾科技城公共码头工程项目</t>
  </si>
  <si>
    <t>三亚崖州湾科技城海洋科学观测网及岸基保障基地项目</t>
  </si>
  <si>
    <t>三亚崖州湾科技城南繁分析检测中心</t>
  </si>
  <si>
    <t>三亚商务区开发建设有限公司</t>
  </si>
  <si>
    <t>三亚河口通道工程项目</t>
  </si>
  <si>
    <t>全球动植物种质资源鉴定评价及确权交换中心项目</t>
  </si>
  <si>
    <t>南繁科技城综合服务保障区南滨片区路网项目</t>
  </si>
  <si>
    <t>国家三角梅种质资源库建设项目</t>
  </si>
  <si>
    <t>三亚崖州湾科技城海洋光纤传感与能源技术研究平台项目</t>
  </si>
  <si>
    <t>三亚市人民医院</t>
  </si>
  <si>
    <t>三亚市人民医院特需医疗综合能力提升项目</t>
  </si>
  <si>
    <t>三亚崖州湾科技城三亚海洋实验室建设项目</t>
  </si>
  <si>
    <t>三亚环通工程管理有限公司</t>
  </si>
  <si>
    <t>三亚市中心城区污水主干管提升改造工程（一期）</t>
  </si>
  <si>
    <t>三亚崖州湾科技城深远海无人装备未来技术与产业创新平台项目</t>
  </si>
  <si>
    <t>三亚市中医院</t>
  </si>
  <si>
    <t>三亚市中医院改扩建项目（二期）</t>
  </si>
  <si>
    <t>崖州湾实验室生物育种能力提升示范项目</t>
  </si>
  <si>
    <t>三亚崖州湾科技城微生物资源公共服务平台</t>
  </si>
  <si>
    <t>三亚崖州湾科技城汉江实验室三亚基地项目</t>
  </si>
  <si>
    <t>三亚崖州湾科技城高端医疗器械中试验证平台</t>
  </si>
  <si>
    <t>崖州湾实验室复杂优良性状高效耦合育种装置配套项目</t>
  </si>
  <si>
    <t>三亚市住房保障管理中心</t>
  </si>
  <si>
    <t>三亚市吉阳区海罗安置区项目（二期）</t>
  </si>
  <si>
    <t>三亚市海棠湾5号污水泵站工程</t>
  </si>
  <si>
    <t>三亚市海棠湾湾坡片区危旧房改造（安居工程）项目二期</t>
  </si>
  <si>
    <t>三亚市海棠湾林旺中安置区（二期）项目配套路网工程</t>
  </si>
  <si>
    <t>三亚市海棠区创业人才保障项目</t>
  </si>
  <si>
    <t>三亚市海棠湾B1片区路网工程</t>
  </si>
  <si>
    <t>海棠湾A8片区路网市政道路工程三期</t>
  </si>
  <si>
    <t>三亚市海棠湾林旺中安置区（一期）项目</t>
  </si>
  <si>
    <t>三亚市现代服务业产业园基础设施配套进士学校周边路网项目</t>
  </si>
  <si>
    <t>三亚市海棠湾建筑垃圾资源化利用厂项目</t>
  </si>
  <si>
    <t>三亚市吉阳区海罗安置区（一期）项目</t>
  </si>
  <si>
    <t>三亚市体育产业园路网工程项目</t>
  </si>
  <si>
    <t>吉阳区住房和城乡建设局</t>
  </si>
  <si>
    <t>吉阳区2024年城镇老旧小区改造项目</t>
  </si>
  <si>
    <t>天涯区人民政府</t>
  </si>
  <si>
    <t>三亚市天涯区文化多馆合一项目</t>
  </si>
  <si>
    <t>三亚梅村投资开发有限公司</t>
  </si>
  <si>
    <t>三亚梅村产业园一期市政配套工程</t>
  </si>
  <si>
    <t>三亚崖州湾科技城综合物流园棚改安置区项目</t>
  </si>
  <si>
    <t>海南三亚国际邮轮港一期客运枢纽</t>
  </si>
  <si>
    <t>三亚港务集团有限公司</t>
  </si>
  <si>
    <t>海南三亚国际邮轮港一期项目</t>
  </si>
  <si>
    <t>三亚市崖州区园林环卫所</t>
  </si>
  <si>
    <t>三亚崖州湾科技城垃圾转运站扩建和垃圾分类教培科普基地工程项目</t>
  </si>
  <si>
    <t>三亚崖州港湾投资有限公司</t>
  </si>
  <si>
    <t>三亚崖州湾科技城国家级渔港经济区渔业综合服务体项目</t>
  </si>
  <si>
    <t>崖州区住建局</t>
  </si>
  <si>
    <t>三亚市崖州湾汽车自驾运动营地公共服务设施项目</t>
  </si>
  <si>
    <t>三亚市崖州区水务林业局</t>
  </si>
  <si>
    <t>海南省大隆灌区续建配套与现代化改造工程</t>
  </si>
  <si>
    <t>三亚崖州湾科技城深海片区排水排涝基础设施一期</t>
  </si>
  <si>
    <t>三亚崖州湾科技城深海片区排水排涝基础设施二期</t>
  </si>
  <si>
    <t>三亚崖州湾科技城南海资源保护开发与利用产业创新平台</t>
  </si>
  <si>
    <t>三亚崖州湾科技城南滨棚户区安置项目</t>
  </si>
  <si>
    <t>三亚崖州湾科技城南山棚户区安置项目</t>
  </si>
  <si>
    <t>三亚市崖州中心渔港保障性住房项目</t>
  </si>
  <si>
    <t>三亚崖州湾科技城南海海岛空间开发技术创新与成果转化平台建设项目</t>
  </si>
  <si>
    <t>三亚崖州湾科技城国家热带农业科学中心综合实验室项目</t>
  </si>
  <si>
    <t>三亚崖州湾科技城双创示范基地项目</t>
  </si>
  <si>
    <t>三亚崖州湾科技城南繁综合服务保障区兴滨三横路南部延长段项目</t>
  </si>
  <si>
    <t>三亚崖州湾科技城深海科技城片区地下综合管廊项目</t>
  </si>
  <si>
    <t>三亚崖州湾深海科技城棚户区安置项目</t>
  </si>
  <si>
    <t>2026年第二批专项债券项目调整明细表</t>
  </si>
  <si>
    <t>三亚市土地储备整理交易中心</t>
  </si>
  <si>
    <t>土地储备项目</t>
  </si>
  <si>
    <t>三亚海绵城市投资建设有限公司</t>
  </si>
  <si>
    <t>海绵城市PPP项目</t>
  </si>
  <si>
    <t>2290403-其他政府性基金债务收入安排的支出</t>
  </si>
  <si>
    <t>特殊教育学校新建康复综合楼等项目</t>
  </si>
  <si>
    <t>三亚市水务局</t>
  </si>
  <si>
    <t>海南省宁远河大隆灌区西干渠工程</t>
  </si>
  <si>
    <t>三亚市海棠区重点社区基础设施配套工程</t>
  </si>
  <si>
    <t>三亚市海棠区C10片区路网市政道路工程（二期）</t>
  </si>
  <si>
    <t>三亚市海棠区C10片区路网市政道路工程（三期）</t>
  </si>
  <si>
    <t>三亚崖州湾科技城种业专业研发外包服务公共平台（CRO）二期工程项目</t>
  </si>
</sst>
</file>

<file path=xl/styles.xml><?xml version="1.0" encoding="utf-8"?>
<styleSheet xmlns="http://schemas.openxmlformats.org/spreadsheetml/2006/main">
  <numFmts count="8">
    <numFmt numFmtId="176" formatCode="0.0_ "/>
    <numFmt numFmtId="41" formatCode="_ * #,##0_ ;_ * \-#,##0_ ;_ * &quot;-&quot;_ ;_ @_ "/>
    <numFmt numFmtId="177" formatCode="0_ "/>
    <numFmt numFmtId="178" formatCode="#,##0_ "/>
    <numFmt numFmtId="43" formatCode="_ * #,##0.00_ ;_ * \-#,##0.00_ ;_ * &quot;-&quot;??_ ;_ @_ "/>
    <numFmt numFmtId="42" formatCode="_ &quot;￥&quot;* #,##0_ ;_ &quot;￥&quot;* \-#,##0_ ;_ &quot;￥&quot;* &quot;-&quot;_ ;_ @_ "/>
    <numFmt numFmtId="44" formatCode="_ &quot;￥&quot;* #,##0.00_ ;_ &quot;￥&quot;* \-#,##0.00_ ;_ &quot;￥&quot;* &quot;-&quot;??_ ;_ @_ "/>
    <numFmt numFmtId="179" formatCode="0.0%"/>
  </numFmts>
  <fonts count="44">
    <font>
      <sz val="11"/>
      <color theme="1"/>
      <name val="宋体"/>
      <charset val="134"/>
      <scheme val="minor"/>
    </font>
    <font>
      <sz val="16"/>
      <color theme="1"/>
      <name val="宋体"/>
      <charset val="134"/>
      <scheme val="minor"/>
    </font>
    <font>
      <sz val="11"/>
      <color theme="1"/>
      <name val="微软雅黑"/>
      <charset val="134"/>
    </font>
    <font>
      <sz val="12"/>
      <color indexed="8"/>
      <name val="微软雅黑"/>
      <charset val="134"/>
    </font>
    <font>
      <sz val="14"/>
      <color indexed="8"/>
      <name val="微软雅黑"/>
      <charset val="134"/>
    </font>
    <font>
      <sz val="14"/>
      <name val="微软雅黑"/>
      <charset val="134"/>
    </font>
    <font>
      <sz val="12"/>
      <name val="宋体"/>
      <charset val="134"/>
    </font>
    <font>
      <sz val="16"/>
      <name val="黑体"/>
      <charset val="134"/>
    </font>
    <font>
      <b/>
      <sz val="24"/>
      <name val="黑体"/>
      <charset val="134"/>
    </font>
    <font>
      <sz val="12"/>
      <name val="微软雅黑"/>
      <charset val="134"/>
    </font>
    <font>
      <sz val="14"/>
      <color theme="1"/>
      <name val="宋体"/>
      <charset val="134"/>
    </font>
    <font>
      <b/>
      <sz val="16"/>
      <name val="微软雅黑"/>
      <charset val="134"/>
    </font>
    <font>
      <b/>
      <sz val="16"/>
      <name val="宋体"/>
      <charset val="134"/>
    </font>
    <font>
      <sz val="16"/>
      <name val="宋体"/>
      <charset val="134"/>
    </font>
    <font>
      <sz val="16"/>
      <name val="宋体"/>
      <charset val="134"/>
      <scheme val="minor"/>
    </font>
    <font>
      <sz val="16"/>
      <name val="宋体"/>
      <charset val="0"/>
      <scheme val="minor"/>
    </font>
    <font>
      <sz val="11"/>
      <name val="宋体"/>
      <charset val="134"/>
      <scheme val="minor"/>
    </font>
    <font>
      <b/>
      <sz val="11"/>
      <name val="宋体"/>
      <charset val="134"/>
      <scheme val="minor"/>
    </font>
    <font>
      <b/>
      <sz val="23"/>
      <name val="宋体"/>
      <charset val="134"/>
      <scheme val="minor"/>
    </font>
    <font>
      <sz val="11"/>
      <name val="宋体"/>
      <charset val="134"/>
    </font>
    <font>
      <b/>
      <sz val="24"/>
      <name val="宋体"/>
      <charset val="134"/>
      <scheme val="minor"/>
    </font>
    <font>
      <b/>
      <sz val="11"/>
      <color theme="1"/>
      <name val="宋体"/>
      <charset val="134"/>
      <scheme val="minor"/>
    </font>
    <font>
      <b/>
      <sz val="15"/>
      <color theme="3"/>
      <name val="宋体"/>
      <charset val="134"/>
      <scheme val="minor"/>
    </font>
    <font>
      <i/>
      <sz val="11"/>
      <color rgb="FF7F7F7F"/>
      <name val="宋体"/>
      <charset val="0"/>
      <scheme val="minor"/>
    </font>
    <font>
      <sz val="11"/>
      <color rgb="FFFF0000"/>
      <name val="宋体"/>
      <charset val="0"/>
      <scheme val="minor"/>
    </font>
    <font>
      <b/>
      <sz val="18"/>
      <color theme="3"/>
      <name val="宋体"/>
      <charset val="134"/>
      <scheme val="minor"/>
    </font>
    <font>
      <b/>
      <sz val="11"/>
      <color theme="3"/>
      <name val="宋体"/>
      <charset val="134"/>
      <scheme val="minor"/>
    </font>
    <font>
      <sz val="11"/>
      <color theme="1"/>
      <name val="宋体"/>
      <charset val="0"/>
      <scheme val="minor"/>
    </font>
    <font>
      <sz val="11"/>
      <color rgb="FF9C0006"/>
      <name val="宋体"/>
      <charset val="0"/>
      <scheme val="minor"/>
    </font>
    <font>
      <sz val="11"/>
      <color theme="0"/>
      <name val="宋体"/>
      <charset val="0"/>
      <scheme val="minor"/>
    </font>
    <font>
      <sz val="11"/>
      <color rgb="FF3F3F76"/>
      <name val="宋体"/>
      <charset val="0"/>
      <scheme val="minor"/>
    </font>
    <font>
      <b/>
      <sz val="11"/>
      <color rgb="FFFFFFFF"/>
      <name val="宋体"/>
      <charset val="0"/>
      <scheme val="minor"/>
    </font>
    <font>
      <b/>
      <sz val="11"/>
      <color rgb="FFFA7D00"/>
      <name val="宋体"/>
      <charset val="0"/>
      <scheme val="minor"/>
    </font>
    <font>
      <u/>
      <sz val="11"/>
      <color rgb="FF800080"/>
      <name val="宋体"/>
      <charset val="0"/>
      <scheme val="minor"/>
    </font>
    <font>
      <b/>
      <sz val="11"/>
      <color rgb="FF3F3F3F"/>
      <name val="宋体"/>
      <charset val="0"/>
      <scheme val="minor"/>
    </font>
    <font>
      <u/>
      <sz val="11"/>
      <color rgb="FF0000FF"/>
      <name val="宋体"/>
      <charset val="0"/>
      <scheme val="minor"/>
    </font>
    <font>
      <b/>
      <sz val="13"/>
      <color theme="3"/>
      <name val="宋体"/>
      <charset val="134"/>
      <scheme val="minor"/>
    </font>
    <font>
      <sz val="11"/>
      <color rgb="FF9C6500"/>
      <name val="宋体"/>
      <charset val="0"/>
      <scheme val="minor"/>
    </font>
    <font>
      <b/>
      <sz val="11"/>
      <color theme="1"/>
      <name val="宋体"/>
      <charset val="0"/>
      <scheme val="minor"/>
    </font>
    <font>
      <sz val="9"/>
      <name val="宋体"/>
      <charset val="134"/>
    </font>
    <font>
      <sz val="11"/>
      <color rgb="FF006100"/>
      <name val="宋体"/>
      <charset val="0"/>
      <scheme val="minor"/>
    </font>
    <font>
      <sz val="11"/>
      <color rgb="FFFA7D00"/>
      <name val="宋体"/>
      <charset val="0"/>
      <scheme val="minor"/>
    </font>
    <font>
      <b/>
      <sz val="9"/>
      <name val="宋体"/>
      <charset val="134"/>
    </font>
    <font>
      <sz val="9"/>
      <name val="宋体"/>
      <charset val="134"/>
    </font>
  </fonts>
  <fills count="33">
    <fill>
      <patternFill patternType="none"/>
    </fill>
    <fill>
      <patternFill patternType="gray125"/>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5"/>
        <bgColor indexed="64"/>
      </patternFill>
    </fill>
    <fill>
      <patternFill patternType="solid">
        <fgColor rgb="FFFFCC99"/>
        <bgColor indexed="64"/>
      </patternFill>
    </fill>
    <fill>
      <patternFill patternType="solid">
        <fgColor rgb="FFA5A5A5"/>
        <bgColor indexed="64"/>
      </patternFill>
    </fill>
    <fill>
      <patternFill patternType="solid">
        <fgColor rgb="FFF2F2F2"/>
        <bgColor indexed="64"/>
      </patternFill>
    </fill>
    <fill>
      <patternFill patternType="solid">
        <fgColor theme="6" tint="0.799981688894314"/>
        <bgColor indexed="64"/>
      </patternFill>
    </fill>
    <fill>
      <patternFill patternType="solid">
        <fgColor theme="9"/>
        <bgColor indexed="64"/>
      </patternFill>
    </fill>
    <fill>
      <patternFill patternType="solid">
        <fgColor theme="8"/>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rgb="FFFFEB9C"/>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6"/>
        <bgColor indexed="64"/>
      </patternFill>
    </fill>
    <fill>
      <patternFill patternType="solid">
        <fgColor rgb="FFC6EFCE"/>
        <bgColor indexed="64"/>
      </patternFill>
    </fill>
    <fill>
      <patternFill patternType="solid">
        <fgColor theme="9"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8" tint="0.399975585192419"/>
        <bgColor indexed="64"/>
      </patternFill>
    </fill>
    <fill>
      <patternFill patternType="solid">
        <fgColor theme="8" tint="0.599993896298105"/>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57">
    <xf numFmtId="0" fontId="0" fillId="0" borderId="0">
      <alignment vertical="center"/>
    </xf>
    <xf numFmtId="42" fontId="0" fillId="0" borderId="0" applyFont="0" applyFill="0" applyBorder="0" applyAlignment="0" applyProtection="0">
      <alignment vertical="center"/>
    </xf>
    <xf numFmtId="0" fontId="27" fillId="9" borderId="0" applyNumberFormat="0" applyBorder="0" applyAlignment="0" applyProtection="0">
      <alignment vertical="center"/>
    </xf>
    <xf numFmtId="0" fontId="30" fillId="6" borderId="8" applyNumberFormat="0" applyAlignment="0" applyProtection="0">
      <alignment vertical="center"/>
    </xf>
    <xf numFmtId="44" fontId="0" fillId="0" borderId="0" applyFont="0" applyFill="0" applyBorder="0" applyAlignment="0" applyProtection="0">
      <alignment vertical="center"/>
    </xf>
    <xf numFmtId="0" fontId="6" fillId="0" borderId="0">
      <alignment vertical="center" wrapText="1"/>
    </xf>
    <xf numFmtId="41" fontId="0" fillId="0" borderId="0" applyFont="0" applyFill="0" applyBorder="0" applyAlignment="0" applyProtection="0">
      <alignment vertical="center"/>
    </xf>
    <xf numFmtId="0" fontId="27" fillId="2" borderId="0" applyNumberFormat="0" applyBorder="0" applyAlignment="0" applyProtection="0">
      <alignment vertical="center"/>
    </xf>
    <xf numFmtId="0" fontId="28" fillId="3" borderId="0" applyNumberFormat="0" applyBorder="0" applyAlignment="0" applyProtection="0">
      <alignment vertical="center"/>
    </xf>
    <xf numFmtId="43" fontId="0" fillId="0" borderId="0" applyFont="0" applyFill="0" applyBorder="0" applyAlignment="0" applyProtection="0">
      <alignment vertical="center"/>
    </xf>
    <xf numFmtId="0" fontId="6" fillId="0" borderId="0">
      <alignment vertical="center"/>
    </xf>
    <xf numFmtId="0" fontId="29" fillId="14" borderId="0" applyNumberFormat="0" applyBorder="0" applyAlignment="0" applyProtection="0">
      <alignment vertical="center"/>
    </xf>
    <xf numFmtId="0" fontId="35" fillId="0" borderId="0" applyNumberFormat="0" applyFill="0" applyBorder="0" applyAlignment="0" applyProtection="0">
      <alignment vertical="center"/>
    </xf>
    <xf numFmtId="9"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15" borderId="11" applyNumberFormat="0" applyFont="0" applyAlignment="0" applyProtection="0">
      <alignment vertical="center"/>
    </xf>
    <xf numFmtId="0" fontId="29" fillId="17" borderId="0" applyNumberFormat="0" applyBorder="0" applyAlignment="0" applyProtection="0">
      <alignment vertical="center"/>
    </xf>
    <xf numFmtId="0" fontId="26"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2" fillId="0" borderId="7" applyNumberFormat="0" applyFill="0" applyAlignment="0" applyProtection="0">
      <alignment vertical="center"/>
    </xf>
    <xf numFmtId="0" fontId="36" fillId="0" borderId="7" applyNumberFormat="0" applyFill="0" applyAlignment="0" applyProtection="0">
      <alignment vertical="center"/>
    </xf>
    <xf numFmtId="0" fontId="29" fillId="19" borderId="0" applyNumberFormat="0" applyBorder="0" applyAlignment="0" applyProtection="0">
      <alignment vertical="center"/>
    </xf>
    <xf numFmtId="0" fontId="26" fillId="0" borderId="12" applyNumberFormat="0" applyFill="0" applyAlignment="0" applyProtection="0">
      <alignment vertical="center"/>
    </xf>
    <xf numFmtId="0" fontId="6" fillId="0" borderId="0">
      <alignment vertical="center"/>
    </xf>
    <xf numFmtId="0" fontId="29" fillId="21" borderId="0" applyNumberFormat="0" applyBorder="0" applyAlignment="0" applyProtection="0">
      <alignment vertical="center"/>
    </xf>
    <xf numFmtId="0" fontId="34" fillId="8" borderId="10" applyNumberFormat="0" applyAlignment="0" applyProtection="0">
      <alignment vertical="center"/>
    </xf>
    <xf numFmtId="0" fontId="32" fillId="8" borderId="8" applyNumberFormat="0" applyAlignment="0" applyProtection="0">
      <alignment vertical="center"/>
    </xf>
    <xf numFmtId="0" fontId="31" fillId="7" borderId="9" applyNumberFormat="0" applyAlignment="0" applyProtection="0">
      <alignment vertical="center"/>
    </xf>
    <xf numFmtId="0" fontId="27" fillId="22" borderId="0" applyNumberFormat="0" applyBorder="0" applyAlignment="0" applyProtection="0">
      <alignment vertical="center"/>
    </xf>
    <xf numFmtId="0" fontId="29" fillId="5" borderId="0" applyNumberFormat="0" applyBorder="0" applyAlignment="0" applyProtection="0">
      <alignment vertical="center"/>
    </xf>
    <xf numFmtId="0" fontId="41" fillId="0" borderId="14" applyNumberFormat="0" applyFill="0" applyAlignment="0" applyProtection="0">
      <alignment vertical="center"/>
    </xf>
    <xf numFmtId="0" fontId="38" fillId="0" borderId="13" applyNumberFormat="0" applyFill="0" applyAlignment="0" applyProtection="0">
      <alignment vertical="center"/>
    </xf>
    <xf numFmtId="0" fontId="40" fillId="24" borderId="0" applyNumberFormat="0" applyBorder="0" applyAlignment="0" applyProtection="0">
      <alignment vertical="center"/>
    </xf>
    <xf numFmtId="0" fontId="37" fillId="18" borderId="0" applyNumberFormat="0" applyBorder="0" applyAlignment="0" applyProtection="0">
      <alignment vertical="center"/>
    </xf>
    <xf numFmtId="0" fontId="6" fillId="0" borderId="0">
      <alignment vertical="center"/>
    </xf>
    <xf numFmtId="0" fontId="27" fillId="20" borderId="0" applyNumberFormat="0" applyBorder="0" applyAlignment="0" applyProtection="0">
      <alignment vertical="center"/>
    </xf>
    <xf numFmtId="0" fontId="29" fillId="28" borderId="0" applyNumberFormat="0" applyBorder="0" applyAlignment="0" applyProtection="0">
      <alignment vertical="center"/>
    </xf>
    <xf numFmtId="0" fontId="27" fillId="13" borderId="0" applyNumberFormat="0" applyBorder="0" applyAlignment="0" applyProtection="0">
      <alignment vertical="center"/>
    </xf>
    <xf numFmtId="0" fontId="27" fillId="16" borderId="0" applyNumberFormat="0" applyBorder="0" applyAlignment="0" applyProtection="0">
      <alignment vertical="center"/>
    </xf>
    <xf numFmtId="0" fontId="27" fillId="4" borderId="0" applyNumberFormat="0" applyBorder="0" applyAlignment="0" applyProtection="0">
      <alignment vertical="center"/>
    </xf>
    <xf numFmtId="0" fontId="27" fillId="27" borderId="0" applyNumberFormat="0" applyBorder="0" applyAlignment="0" applyProtection="0">
      <alignment vertical="center"/>
    </xf>
    <xf numFmtId="0" fontId="29" fillId="23" borderId="0" applyNumberFormat="0" applyBorder="0" applyAlignment="0" applyProtection="0">
      <alignment vertical="center"/>
    </xf>
    <xf numFmtId="0" fontId="29" fillId="26" borderId="0" applyNumberFormat="0" applyBorder="0" applyAlignment="0" applyProtection="0">
      <alignment vertical="center"/>
    </xf>
    <xf numFmtId="0" fontId="27" fillId="30" borderId="0" applyNumberFormat="0" applyBorder="0" applyAlignment="0" applyProtection="0">
      <alignment vertical="center"/>
    </xf>
    <xf numFmtId="0" fontId="27" fillId="12" borderId="0" applyNumberFormat="0" applyBorder="0" applyAlignment="0" applyProtection="0">
      <alignment vertical="center"/>
    </xf>
    <xf numFmtId="0" fontId="29" fillId="11" borderId="0" applyNumberFormat="0" applyBorder="0" applyAlignment="0" applyProtection="0">
      <alignment vertical="center"/>
    </xf>
    <xf numFmtId="0" fontId="27" fillId="32" borderId="0" applyNumberFormat="0" applyBorder="0" applyAlignment="0" applyProtection="0">
      <alignment vertical="center"/>
    </xf>
    <xf numFmtId="0" fontId="6" fillId="0" borderId="0">
      <alignment vertical="center"/>
    </xf>
    <xf numFmtId="0" fontId="29" fillId="31" borderId="0" applyNumberFormat="0" applyBorder="0" applyAlignment="0" applyProtection="0">
      <alignment vertical="center"/>
    </xf>
    <xf numFmtId="0" fontId="29" fillId="10" borderId="0" applyNumberFormat="0" applyBorder="0" applyAlignment="0" applyProtection="0">
      <alignment vertical="center"/>
    </xf>
    <xf numFmtId="0" fontId="27" fillId="25" borderId="0" applyNumberFormat="0" applyBorder="0" applyAlignment="0" applyProtection="0">
      <alignment vertical="center"/>
    </xf>
    <xf numFmtId="0" fontId="29" fillId="29" borderId="0" applyNumberFormat="0" applyBorder="0" applyAlignment="0" applyProtection="0">
      <alignment vertical="center"/>
    </xf>
    <xf numFmtId="0" fontId="6" fillId="0" borderId="0">
      <alignment vertical="center" wrapText="1"/>
    </xf>
    <xf numFmtId="0" fontId="39" fillId="0" borderId="0">
      <alignment vertical="center"/>
    </xf>
    <xf numFmtId="0" fontId="6" fillId="0" borderId="0">
      <alignment vertical="center" wrapText="1"/>
    </xf>
  </cellStyleXfs>
  <cellXfs count="137">
    <xf numFmtId="0" fontId="0" fillId="0" borderId="0" xfId="0">
      <alignment vertical="center"/>
    </xf>
    <xf numFmtId="0" fontId="1" fillId="0" borderId="0" xfId="0" applyFont="1">
      <alignment vertical="center"/>
    </xf>
    <xf numFmtId="0" fontId="2" fillId="0" borderId="0" xfId="0" applyFont="1" applyFill="1" applyAlignment="1">
      <alignment horizontal="center" vertical="center"/>
    </xf>
    <xf numFmtId="0" fontId="3" fillId="0" borderId="0" xfId="0" applyFont="1" applyFill="1" applyAlignment="1" applyProtection="1">
      <alignment horizontal="center" vertical="center"/>
      <protection locked="0"/>
    </xf>
    <xf numFmtId="0" fontId="4" fillId="0" borderId="0" xfId="0" applyFont="1" applyFill="1" applyAlignment="1">
      <alignment vertical="center" wrapText="1"/>
    </xf>
    <xf numFmtId="0" fontId="5" fillId="0" borderId="0" xfId="0" applyFont="1" applyFill="1" applyAlignment="1">
      <alignment horizontal="left" vertical="center" wrapText="1"/>
    </xf>
    <xf numFmtId="178" fontId="4" fillId="0" borderId="0" xfId="0" applyNumberFormat="1" applyFont="1" applyFill="1" applyAlignment="1">
      <alignment horizontal="center" vertical="center"/>
    </xf>
    <xf numFmtId="0" fontId="6" fillId="0" borderId="0" xfId="0" applyFont="1" applyFill="1" applyAlignment="1">
      <alignment horizontal="left" vertical="center"/>
    </xf>
    <xf numFmtId="0" fontId="7" fillId="0" borderId="0" xfId="0" applyFont="1" applyFill="1" applyAlignment="1">
      <alignment vertical="center"/>
    </xf>
    <xf numFmtId="0" fontId="8" fillId="0" borderId="0" xfId="0" applyFont="1" applyFill="1" applyAlignment="1" applyProtection="1">
      <alignment horizontal="center" vertical="center" wrapText="1"/>
      <protection locked="0"/>
    </xf>
    <xf numFmtId="178" fontId="8" fillId="0" borderId="0" xfId="0" applyNumberFormat="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178" fontId="10" fillId="0" borderId="0" xfId="0" applyNumberFormat="1" applyFont="1" applyFill="1" applyAlignment="1">
      <alignment horizontal="right" vertical="center" wrapText="1"/>
    </xf>
    <xf numFmtId="0" fontId="10" fillId="0" borderId="0" xfId="0" applyNumberFormat="1" applyFont="1" applyFill="1" applyAlignment="1">
      <alignment horizontal="right" vertical="center" wrapText="1"/>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lignment horizontal="center" vertical="center" wrapText="1"/>
    </xf>
    <xf numFmtId="178" fontId="11" fillId="0" borderId="1" xfId="0" applyNumberFormat="1" applyFont="1" applyFill="1" applyBorder="1" applyAlignment="1">
      <alignment horizontal="center" vertical="center" wrapText="1"/>
    </xf>
    <xf numFmtId="41" fontId="11" fillId="0" borderId="1" xfId="0" applyNumberFormat="1" applyFont="1" applyFill="1" applyBorder="1" applyAlignment="1">
      <alignment horizontal="center" vertical="center" wrapText="1"/>
    </xf>
    <xf numFmtId="0" fontId="12" fillId="0" borderId="1" xfId="0" applyFont="1" applyFill="1" applyBorder="1" applyAlignment="1" applyProtection="1">
      <alignment horizontal="center" vertical="center"/>
      <protection locked="0"/>
    </xf>
    <xf numFmtId="0" fontId="12" fillId="0" borderId="1" xfId="0" applyFont="1" applyFill="1" applyBorder="1" applyAlignment="1" applyProtection="1">
      <alignment horizontal="center" vertical="center" wrapText="1"/>
      <protection locked="0"/>
    </xf>
    <xf numFmtId="178" fontId="12" fillId="0" borderId="1" xfId="0" applyNumberFormat="1" applyFont="1" applyFill="1" applyBorder="1" applyAlignment="1">
      <alignment horizontal="center" vertical="center" wrapText="1"/>
    </xf>
    <xf numFmtId="41" fontId="13" fillId="0" borderId="1" xfId="0" applyNumberFormat="1" applyFont="1" applyFill="1" applyBorder="1" applyAlignment="1">
      <alignment horizontal="center" vertical="center" wrapText="1"/>
    </xf>
    <xf numFmtId="0" fontId="12" fillId="0" borderId="1" xfId="0" applyFont="1" applyFill="1" applyBorder="1" applyAlignment="1">
      <alignment horizontal="left" vertical="center"/>
    </xf>
    <xf numFmtId="0" fontId="13" fillId="0" borderId="1" xfId="0" applyFont="1" applyFill="1" applyBorder="1" applyAlignment="1" applyProtection="1">
      <alignment horizontal="center" vertical="center"/>
      <protection locked="0"/>
    </xf>
    <xf numFmtId="0" fontId="13" fillId="0" borderId="1" xfId="0" applyNumberFormat="1" applyFont="1" applyFill="1" applyBorder="1" applyAlignment="1" applyProtection="1">
      <alignment horizontal="center" vertical="center"/>
      <protection locked="0"/>
    </xf>
    <xf numFmtId="0" fontId="13" fillId="0" borderId="1" xfId="0" applyNumberFormat="1" applyFont="1" applyFill="1" applyBorder="1" applyAlignment="1" applyProtection="1">
      <alignment horizontal="center" vertical="center" wrapText="1"/>
      <protection locked="0"/>
    </xf>
    <xf numFmtId="178" fontId="13" fillId="0" borderId="1" xfId="0" applyNumberFormat="1" applyFont="1" applyFill="1" applyBorder="1" applyAlignment="1">
      <alignment horizontal="center" vertical="center" wrapText="1"/>
    </xf>
    <xf numFmtId="0" fontId="13" fillId="0" borderId="1" xfId="0" applyFont="1" applyFill="1" applyBorder="1" applyAlignment="1">
      <alignment horizontal="left" vertical="center" wrapText="1"/>
    </xf>
    <xf numFmtId="0" fontId="12" fillId="0" borderId="2"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12" fillId="0" borderId="4"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protection locked="0"/>
    </xf>
    <xf numFmtId="0" fontId="0" fillId="0" borderId="0" xfId="0" applyFill="1">
      <alignment vertical="center"/>
    </xf>
    <xf numFmtId="0" fontId="1" fillId="0" borderId="0" xfId="0" applyFont="1" applyFill="1">
      <alignment vertical="center"/>
    </xf>
    <xf numFmtId="0" fontId="14" fillId="0" borderId="1" xfId="0" applyFont="1" applyFill="1" applyBorder="1" applyAlignment="1" applyProtection="1">
      <alignment horizontal="center" vertical="center"/>
      <protection locked="0"/>
    </xf>
    <xf numFmtId="0" fontId="14" fillId="0" borderId="1" xfId="0" applyNumberFormat="1" applyFont="1" applyFill="1" applyBorder="1" applyAlignment="1" applyProtection="1">
      <alignment horizontal="center" vertical="center"/>
      <protection locked="0"/>
    </xf>
    <xf numFmtId="0" fontId="14" fillId="0" borderId="1" xfId="0" applyNumberFormat="1" applyFont="1" applyFill="1" applyBorder="1" applyAlignment="1">
      <alignment horizontal="center" vertical="center" wrapText="1"/>
    </xf>
    <xf numFmtId="178" fontId="15" fillId="0" borderId="1" xfId="0" applyNumberFormat="1"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0" borderId="1" xfId="0" applyNumberFormat="1" applyFont="1" applyFill="1" applyBorder="1" applyAlignment="1" applyProtection="1">
      <alignment horizontal="center" vertical="center" wrapText="1"/>
      <protection locked="0"/>
    </xf>
    <xf numFmtId="0" fontId="14" fillId="0" borderId="1" xfId="0" applyFont="1" applyFill="1" applyBorder="1" applyAlignment="1">
      <alignment horizontal="center" vertical="center" wrapText="1"/>
    </xf>
    <xf numFmtId="178" fontId="14" fillId="0" borderId="1" xfId="0" applyNumberFormat="1" applyFont="1" applyFill="1" applyBorder="1" applyAlignment="1">
      <alignment horizontal="center" vertical="center" wrapText="1"/>
    </xf>
    <xf numFmtId="177" fontId="14" fillId="0" borderId="1" xfId="0" applyNumberFormat="1" applyFont="1" applyFill="1" applyBorder="1" applyAlignment="1" applyProtection="1">
      <alignment horizontal="center" vertical="center"/>
      <protection locked="0"/>
    </xf>
    <xf numFmtId="177" fontId="14" fillId="0" borderId="1" xfId="0" applyNumberFormat="1" applyFont="1" applyFill="1" applyBorder="1" applyAlignment="1" applyProtection="1">
      <alignment horizontal="center" vertical="center" wrapText="1"/>
      <protection locked="0"/>
    </xf>
    <xf numFmtId="0" fontId="16" fillId="0" borderId="0" xfId="0" applyFont="1" applyFill="1" applyBorder="1" applyAlignment="1">
      <alignment vertical="center"/>
    </xf>
    <xf numFmtId="0" fontId="17" fillId="0" borderId="0" xfId="0" applyFont="1" applyFill="1" applyAlignment="1">
      <alignment vertical="center"/>
    </xf>
    <xf numFmtId="0" fontId="16" fillId="0" borderId="0" xfId="0" applyFont="1" applyFill="1" applyAlignment="1">
      <alignment vertical="center" wrapText="1"/>
    </xf>
    <xf numFmtId="0" fontId="16" fillId="0" borderId="0" xfId="0" applyFont="1" applyFill="1" applyAlignment="1">
      <alignment vertical="center"/>
    </xf>
    <xf numFmtId="177" fontId="16" fillId="0" borderId="0" xfId="0" applyNumberFormat="1" applyFont="1" applyFill="1" applyAlignment="1">
      <alignment vertical="center"/>
    </xf>
    <xf numFmtId="176" fontId="16" fillId="0" borderId="0" xfId="0" applyNumberFormat="1" applyFont="1" applyFill="1" applyAlignment="1">
      <alignment vertical="center"/>
    </xf>
    <xf numFmtId="0" fontId="0" fillId="0" borderId="0" xfId="0" applyFill="1" applyAlignment="1">
      <alignment vertical="center"/>
    </xf>
    <xf numFmtId="0" fontId="7" fillId="0" borderId="0" xfId="0" applyFont="1" applyFill="1" applyAlignment="1">
      <alignment vertical="center" wrapText="1"/>
    </xf>
    <xf numFmtId="0" fontId="18" fillId="0" borderId="0" xfId="0" applyFont="1" applyFill="1" applyAlignment="1">
      <alignment horizontal="center" vertical="center" wrapText="1"/>
    </xf>
    <xf numFmtId="0" fontId="18" fillId="0" borderId="0" xfId="0" applyFont="1" applyFill="1" applyAlignment="1">
      <alignment horizontal="center" vertical="center"/>
    </xf>
    <xf numFmtId="177" fontId="18" fillId="0" borderId="0" xfId="0" applyNumberFormat="1" applyFont="1" applyFill="1" applyAlignment="1">
      <alignment horizontal="center" vertical="center"/>
    </xf>
    <xf numFmtId="0" fontId="16" fillId="0" borderId="0" xfId="0" applyFont="1" applyFill="1" applyBorder="1" applyAlignment="1">
      <alignment vertical="center" wrapText="1"/>
    </xf>
    <xf numFmtId="177" fontId="16" fillId="0" borderId="0" xfId="0" applyNumberFormat="1" applyFont="1" applyFill="1" applyBorder="1" applyAlignment="1">
      <alignment vertical="center"/>
    </xf>
    <xf numFmtId="0" fontId="17"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177" fontId="17" fillId="0" borderId="1" xfId="0" applyNumberFormat="1" applyFont="1" applyFill="1" applyBorder="1" applyAlignment="1">
      <alignment horizontal="center" vertical="center"/>
    </xf>
    <xf numFmtId="49" fontId="17" fillId="0" borderId="1" xfId="49" applyNumberFormat="1" applyFont="1" applyFill="1" applyBorder="1" applyAlignment="1">
      <alignment horizontal="center" vertical="center" wrapText="1"/>
    </xf>
    <xf numFmtId="177" fontId="17" fillId="0" borderId="1" xfId="0" applyNumberFormat="1" applyFont="1" applyFill="1" applyBorder="1" applyAlignment="1">
      <alignment horizontal="center" vertical="center" wrapText="1"/>
    </xf>
    <xf numFmtId="0" fontId="17" fillId="0" borderId="1" xfId="54" applyFont="1" applyFill="1" applyBorder="1" applyAlignment="1" applyProtection="1">
      <alignment horizontal="center" vertical="center" wrapText="1"/>
      <protection locked="0"/>
    </xf>
    <xf numFmtId="177" fontId="17" fillId="0" borderId="1" xfId="0" applyNumberFormat="1" applyFont="1" applyFill="1" applyBorder="1" applyAlignment="1">
      <alignment horizontal="right" vertical="center"/>
    </xf>
    <xf numFmtId="177" fontId="17" fillId="0" borderId="1" xfId="0" applyNumberFormat="1" applyFont="1" applyFill="1" applyBorder="1" applyAlignment="1">
      <alignment vertical="center"/>
    </xf>
    <xf numFmtId="179" fontId="17" fillId="0" borderId="1" xfId="13" applyNumberFormat="1" applyFont="1" applyFill="1" applyBorder="1" applyAlignment="1">
      <alignment vertical="center"/>
    </xf>
    <xf numFmtId="0" fontId="16" fillId="0" borderId="1" xfId="54" applyFont="1" applyFill="1" applyBorder="1" applyAlignment="1" applyProtection="1">
      <alignment horizontal="left" vertical="center" wrapText="1"/>
      <protection locked="0"/>
    </xf>
    <xf numFmtId="177" fontId="19" fillId="0" borderId="1" xfId="9" applyNumberFormat="1" applyFont="1" applyFill="1" applyBorder="1" applyAlignment="1" applyProtection="1">
      <alignment horizontal="right" vertical="center" wrapText="1"/>
    </xf>
    <xf numFmtId="177" fontId="16" fillId="0" borderId="1" xfId="13" applyNumberFormat="1" applyFont="1" applyFill="1" applyBorder="1">
      <alignment vertical="center"/>
    </xf>
    <xf numFmtId="179" fontId="16" fillId="0" borderId="1" xfId="13" applyNumberFormat="1" applyFont="1" applyFill="1" applyBorder="1" applyAlignment="1">
      <alignment vertical="center"/>
    </xf>
    <xf numFmtId="0" fontId="16" fillId="0" borderId="1" xfId="54" applyFont="1" applyFill="1" applyBorder="1" applyAlignment="1">
      <alignment vertical="center" wrapText="1"/>
    </xf>
    <xf numFmtId="176" fontId="16" fillId="0" borderId="1" xfId="0" applyNumberFormat="1" applyFont="1" applyFill="1" applyBorder="1" applyAlignment="1">
      <alignment vertical="center"/>
    </xf>
    <xf numFmtId="177" fontId="16" fillId="0" borderId="1" xfId="0" applyNumberFormat="1" applyFont="1" applyFill="1" applyBorder="1" applyAlignment="1">
      <alignment horizontal="right" vertical="center"/>
    </xf>
    <xf numFmtId="177" fontId="16" fillId="0" borderId="1" xfId="0" applyNumberFormat="1" applyFont="1" applyFill="1" applyBorder="1" applyAlignment="1">
      <alignment vertical="center"/>
    </xf>
    <xf numFmtId="177" fontId="16" fillId="0" borderId="1" xfId="13" applyNumberFormat="1" applyFont="1" applyFill="1" applyBorder="1" applyAlignment="1">
      <alignment horizontal="right" vertical="center"/>
    </xf>
    <xf numFmtId="0" fontId="16" fillId="0" borderId="1" xfId="0" applyFont="1" applyFill="1" applyBorder="1" applyAlignment="1">
      <alignment vertical="center" wrapText="1"/>
    </xf>
    <xf numFmtId="0" fontId="16" fillId="0" borderId="1" xfId="0" applyFont="1" applyFill="1" applyBorder="1" applyAlignment="1">
      <alignment vertical="center"/>
    </xf>
    <xf numFmtId="1" fontId="19" fillId="0" borderId="1" xfId="49" applyNumberFormat="1" applyFont="1" applyFill="1" applyBorder="1" applyAlignment="1" applyProtection="1">
      <alignment horizontal="left" vertical="center" wrapText="1"/>
      <protection locked="0"/>
    </xf>
    <xf numFmtId="1" fontId="17" fillId="0" borderId="1" xfId="49" applyNumberFormat="1" applyFont="1" applyFill="1" applyBorder="1" applyAlignment="1" applyProtection="1">
      <alignment horizontal="left" vertical="center" wrapText="1"/>
      <protection locked="0"/>
    </xf>
    <xf numFmtId="1" fontId="16" fillId="0" borderId="1" xfId="49" applyNumberFormat="1" applyFont="1" applyFill="1" applyBorder="1" applyAlignment="1" applyProtection="1">
      <alignment horizontal="left" vertical="center" wrapText="1"/>
      <protection locked="0"/>
    </xf>
    <xf numFmtId="0" fontId="17" fillId="0" borderId="1" xfId="56" applyFont="1" applyFill="1" applyBorder="1" applyAlignment="1" applyProtection="1">
      <alignment horizontal="center" vertical="center" wrapText="1"/>
      <protection locked="0"/>
    </xf>
    <xf numFmtId="177" fontId="17" fillId="0" borderId="1" xfId="13" applyNumberFormat="1" applyFont="1" applyFill="1" applyBorder="1">
      <alignment vertical="center"/>
    </xf>
    <xf numFmtId="0" fontId="16" fillId="0" borderId="1" xfId="55" applyFont="1" applyFill="1" applyBorder="1" applyAlignment="1">
      <alignment horizontal="left" vertical="center" wrapText="1"/>
    </xf>
    <xf numFmtId="177" fontId="19" fillId="0" borderId="1" xfId="49" applyNumberFormat="1" applyFont="1" applyFill="1" applyBorder="1" applyAlignment="1">
      <alignment horizontal="right" vertical="center"/>
    </xf>
    <xf numFmtId="0" fontId="16" fillId="0" borderId="1" xfId="5" applyFont="1" applyFill="1" applyBorder="1" applyAlignment="1">
      <alignment vertical="center" wrapText="1"/>
    </xf>
    <xf numFmtId="177" fontId="19" fillId="0" borderId="1" xfId="5" applyNumberFormat="1" applyFont="1" applyFill="1" applyBorder="1" applyAlignment="1" applyProtection="1">
      <alignment horizontal="right" vertical="center" wrapText="1"/>
      <protection locked="0"/>
    </xf>
    <xf numFmtId="176" fontId="18" fillId="0" borderId="0" xfId="0" applyNumberFormat="1" applyFont="1" applyFill="1" applyAlignment="1">
      <alignment horizontal="center" vertical="center"/>
    </xf>
    <xf numFmtId="0" fontId="16" fillId="0" borderId="0" xfId="0" applyFont="1" applyFill="1" applyAlignment="1">
      <alignment horizontal="right" vertical="center"/>
    </xf>
    <xf numFmtId="177" fontId="16" fillId="0" borderId="0" xfId="0" applyNumberFormat="1" applyFont="1" applyFill="1" applyAlignment="1">
      <alignment horizontal="right" vertical="center"/>
    </xf>
    <xf numFmtId="176" fontId="16" fillId="0" borderId="0" xfId="0" applyNumberFormat="1" applyFont="1" applyFill="1" applyAlignment="1">
      <alignment horizontal="right" vertical="center"/>
    </xf>
    <xf numFmtId="176" fontId="17" fillId="0" borderId="1" xfId="0" applyNumberFormat="1" applyFont="1" applyFill="1" applyBorder="1" applyAlignment="1">
      <alignment horizontal="center" vertical="center"/>
    </xf>
    <xf numFmtId="179" fontId="17" fillId="0" borderId="1" xfId="49" applyNumberFormat="1" applyFont="1" applyFill="1" applyBorder="1" applyAlignment="1">
      <alignment horizontal="center" vertical="center" wrapText="1"/>
    </xf>
    <xf numFmtId="0" fontId="16" fillId="0" borderId="1" xfId="5" applyFont="1" applyFill="1" applyBorder="1" applyAlignment="1" applyProtection="1">
      <alignment vertical="center" wrapText="1"/>
      <protection locked="0"/>
    </xf>
    <xf numFmtId="176" fontId="16" fillId="0" borderId="1" xfId="0" applyNumberFormat="1" applyFont="1" applyFill="1" applyBorder="1" applyAlignment="1">
      <alignment horizontal="right" vertical="center"/>
    </xf>
    <xf numFmtId="0" fontId="16" fillId="0" borderId="1" xfId="54" applyFont="1" applyFill="1" applyBorder="1" applyAlignment="1" applyProtection="1">
      <alignment vertical="center" wrapText="1"/>
      <protection locked="0"/>
    </xf>
    <xf numFmtId="177" fontId="19" fillId="0" borderId="1" xfId="9" applyNumberFormat="1" applyFont="1" applyFill="1" applyBorder="1" applyAlignment="1" applyProtection="1">
      <alignment horizontal="right" vertical="center"/>
    </xf>
    <xf numFmtId="177" fontId="16" fillId="0" borderId="5" xfId="0" applyNumberFormat="1" applyFont="1" applyFill="1" applyBorder="1" applyAlignment="1">
      <alignment horizontal="right" vertical="center"/>
    </xf>
    <xf numFmtId="0" fontId="0" fillId="0" borderId="1" xfId="0" applyFill="1" applyBorder="1" applyAlignment="1">
      <alignment vertical="center"/>
    </xf>
    <xf numFmtId="177" fontId="19" fillId="0" borderId="1" xfId="54" applyNumberFormat="1" applyFont="1" applyFill="1" applyBorder="1" applyAlignment="1">
      <alignment horizontal="right" vertical="center" wrapText="1"/>
    </xf>
    <xf numFmtId="178" fontId="16" fillId="0" borderId="1" xfId="56" applyNumberFormat="1" applyFont="1" applyFill="1" applyBorder="1" applyAlignment="1" applyProtection="1">
      <alignment vertical="center" wrapText="1"/>
      <protection locked="0"/>
    </xf>
    <xf numFmtId="177" fontId="19" fillId="0" borderId="1" xfId="13" applyNumberFormat="1" applyFont="1" applyFill="1" applyBorder="1" applyAlignment="1" applyProtection="1">
      <alignment horizontal="right" vertical="center"/>
    </xf>
    <xf numFmtId="178" fontId="16" fillId="0" borderId="1" xfId="10" applyNumberFormat="1" applyFont="1" applyFill="1" applyBorder="1" applyAlignment="1">
      <alignment vertical="center" wrapText="1"/>
    </xf>
    <xf numFmtId="3" fontId="16" fillId="0" borderId="1" xfId="54" applyNumberFormat="1" applyFont="1" applyFill="1" applyBorder="1" applyAlignment="1" applyProtection="1">
      <alignment vertical="center" wrapText="1"/>
    </xf>
    <xf numFmtId="0" fontId="17" fillId="0" borderId="1" xfId="5" applyFont="1" applyFill="1" applyBorder="1" applyAlignment="1" applyProtection="1">
      <alignment horizontal="center" vertical="center" wrapText="1"/>
      <protection locked="0"/>
    </xf>
    <xf numFmtId="178" fontId="16" fillId="0" borderId="1" xfId="10" applyNumberFormat="1" applyFont="1" applyFill="1" applyBorder="1" applyAlignment="1">
      <alignment horizontal="left" vertical="center" wrapText="1" indent="1"/>
    </xf>
    <xf numFmtId="177" fontId="17" fillId="0" borderId="0" xfId="0" applyNumberFormat="1" applyFont="1" applyFill="1" applyBorder="1" applyAlignment="1">
      <alignment vertical="center"/>
    </xf>
    <xf numFmtId="177" fontId="17" fillId="0" borderId="0" xfId="0" applyNumberFormat="1" applyFont="1" applyFill="1" applyAlignment="1">
      <alignment vertical="center"/>
    </xf>
    <xf numFmtId="3" fontId="16" fillId="0" borderId="0" xfId="0" applyNumberFormat="1" applyFont="1" applyFill="1" applyAlignment="1">
      <alignment vertical="center"/>
    </xf>
    <xf numFmtId="178" fontId="17" fillId="0" borderId="1" xfId="25" applyNumberFormat="1" applyFont="1" applyFill="1" applyBorder="1" applyAlignment="1">
      <alignment horizontal="center" vertical="center" wrapText="1"/>
    </xf>
    <xf numFmtId="178" fontId="16" fillId="0" borderId="1" xfId="25" applyNumberFormat="1" applyFont="1" applyFill="1" applyBorder="1" applyAlignment="1">
      <alignment horizontal="left" vertical="center" wrapText="1"/>
    </xf>
    <xf numFmtId="176" fontId="16" fillId="0" borderId="1" xfId="13" applyNumberFormat="1" applyFont="1" applyFill="1" applyBorder="1" applyAlignment="1">
      <alignment vertical="center"/>
    </xf>
    <xf numFmtId="178" fontId="17" fillId="0" borderId="1" xfId="25" applyNumberFormat="1" applyFont="1" applyFill="1" applyBorder="1" applyAlignment="1">
      <alignment horizontal="left" vertical="center" wrapText="1"/>
    </xf>
    <xf numFmtId="177" fontId="17" fillId="0" borderId="1" xfId="13" applyNumberFormat="1" applyFont="1" applyFill="1" applyBorder="1" applyAlignment="1">
      <alignment horizontal="right" vertical="center"/>
    </xf>
    <xf numFmtId="176" fontId="17" fillId="0" borderId="1" xfId="0" applyNumberFormat="1" applyFont="1" applyFill="1" applyBorder="1" applyAlignment="1">
      <alignment horizontal="right" vertical="center"/>
    </xf>
    <xf numFmtId="1" fontId="17" fillId="0" borderId="1" xfId="49" applyNumberFormat="1" applyFont="1" applyFill="1" applyBorder="1" applyAlignment="1" applyProtection="1">
      <alignment horizontal="center" vertical="center" wrapText="1"/>
      <protection locked="0"/>
    </xf>
    <xf numFmtId="177" fontId="19" fillId="0" borderId="4" xfId="49" applyNumberFormat="1" applyFont="1" applyFill="1" applyBorder="1" applyAlignment="1">
      <alignment horizontal="right" vertical="center"/>
    </xf>
    <xf numFmtId="176" fontId="16" fillId="0" borderId="1" xfId="13" applyNumberFormat="1" applyFont="1" applyFill="1" applyBorder="1" applyAlignment="1">
      <alignment horizontal="right" vertical="center"/>
    </xf>
    <xf numFmtId="177" fontId="16" fillId="0" borderId="1" xfId="13" applyNumberFormat="1" applyFont="1" applyFill="1" applyBorder="1" applyAlignment="1">
      <alignment vertical="center"/>
    </xf>
    <xf numFmtId="0" fontId="16" fillId="0" borderId="0" xfId="0" applyFont="1" applyFill="1" applyAlignment="1">
      <alignment horizontal="right" vertical="center" wrapText="1"/>
    </xf>
    <xf numFmtId="177" fontId="17" fillId="0" borderId="1" xfId="13" applyNumberFormat="1" applyFont="1" applyFill="1" applyBorder="1" applyAlignment="1">
      <alignment vertical="center"/>
    </xf>
    <xf numFmtId="176" fontId="17" fillId="0" borderId="1" xfId="13" applyNumberFormat="1" applyFont="1" applyFill="1" applyBorder="1" applyAlignment="1">
      <alignment vertical="center"/>
    </xf>
    <xf numFmtId="178" fontId="16" fillId="0" borderId="1" xfId="25" applyNumberFormat="1" applyFont="1" applyFill="1" applyBorder="1" applyAlignment="1">
      <alignment horizontal="left" vertical="center" wrapText="1" indent="1"/>
    </xf>
    <xf numFmtId="1" fontId="16" fillId="0" borderId="1" xfId="49" applyNumberFormat="1" applyFont="1" applyFill="1" applyBorder="1" applyAlignment="1" applyProtection="1">
      <alignment horizontal="left" vertical="center" wrapText="1" indent="1"/>
      <protection locked="0"/>
    </xf>
    <xf numFmtId="0" fontId="20" fillId="0" borderId="0" xfId="0" applyFont="1" applyFill="1" applyAlignment="1">
      <alignment horizontal="center" vertical="center" wrapText="1"/>
    </xf>
    <xf numFmtId="0" fontId="20" fillId="0" borderId="0" xfId="0" applyFont="1" applyFill="1" applyAlignment="1">
      <alignment horizontal="center" vertical="center"/>
    </xf>
    <xf numFmtId="0" fontId="17" fillId="0" borderId="5" xfId="0" applyFont="1" applyFill="1" applyBorder="1" applyAlignment="1">
      <alignment horizontal="center" vertical="center" wrapText="1"/>
    </xf>
    <xf numFmtId="0" fontId="17" fillId="0" borderId="6" xfId="0" applyFont="1" applyFill="1" applyBorder="1" applyAlignment="1">
      <alignment horizontal="center" vertical="center" wrapText="1"/>
    </xf>
    <xf numFmtId="176" fontId="20" fillId="0" borderId="0" xfId="0" applyNumberFormat="1" applyFont="1" applyFill="1" applyAlignment="1">
      <alignment horizontal="center" vertical="center"/>
    </xf>
    <xf numFmtId="0" fontId="16" fillId="0" borderId="1" xfId="56" applyFont="1" applyFill="1" applyBorder="1" applyAlignment="1">
      <alignment vertical="center" wrapText="1"/>
    </xf>
    <xf numFmtId="3" fontId="16" fillId="0" borderId="1" xfId="56" applyNumberFormat="1" applyFont="1" applyFill="1" applyBorder="1" applyAlignment="1" applyProtection="1">
      <alignment horizontal="left" vertical="center" wrapText="1"/>
    </xf>
    <xf numFmtId="177" fontId="20" fillId="0" borderId="0" xfId="0" applyNumberFormat="1" applyFont="1" applyFill="1" applyAlignment="1">
      <alignment horizontal="center" vertical="center"/>
    </xf>
    <xf numFmtId="3" fontId="16" fillId="0" borderId="0" xfId="0" applyNumberFormat="1" applyFont="1" applyFill="1" applyBorder="1" applyAlignment="1" applyProtection="1">
      <alignment vertical="center"/>
    </xf>
    <xf numFmtId="0" fontId="21" fillId="0" borderId="1" xfId="0" applyFont="1" applyFill="1" applyBorder="1" applyAlignment="1">
      <alignment horizontal="center" vertical="center" wrapText="1"/>
    </xf>
    <xf numFmtId="0" fontId="21" fillId="0" borderId="1" xfId="0" applyFont="1" applyFill="1" applyBorder="1" applyAlignment="1">
      <alignment horizontal="center" vertical="center"/>
    </xf>
    <xf numFmtId="177" fontId="21" fillId="0" borderId="1" xfId="0" applyNumberFormat="1" applyFont="1" applyFill="1" applyBorder="1" applyAlignment="1">
      <alignment horizontal="center" vertical="center"/>
    </xf>
    <xf numFmtId="177" fontId="19" fillId="0" borderId="4" xfId="49" applyNumberFormat="1" applyFont="1" applyFill="1" applyBorder="1" applyAlignment="1">
      <alignment vertical="center"/>
    </xf>
    <xf numFmtId="177" fontId="19" fillId="0" borderId="1" xfId="49" applyNumberFormat="1" applyFont="1" applyFill="1" applyBorder="1" applyAlignment="1">
      <alignment vertical="center"/>
    </xf>
  </cellXfs>
  <cellStyles count="57">
    <cellStyle name="常规" xfId="0" builtinId="0"/>
    <cellStyle name="货币[0]" xfId="1" builtinId="7"/>
    <cellStyle name="20% - 强调文字颜色 3" xfId="2" builtinId="38"/>
    <cellStyle name="输入" xfId="3" builtinId="20"/>
    <cellStyle name="货币" xfId="4" builtinId="4"/>
    <cellStyle name="常规_政府性基金（1-14）" xfId="5"/>
    <cellStyle name="千位分隔[0]" xfId="6" builtinId="6"/>
    <cellStyle name="40% - 强调文字颜色 3" xfId="7" builtinId="39"/>
    <cellStyle name="差" xfId="8" builtinId="27"/>
    <cellStyle name="千位分隔" xfId="9" builtinId="3"/>
    <cellStyle name="常规_2015年政府性基金编制（总表）" xfId="10"/>
    <cellStyle name="60% - 强调文字颜色 3" xfId="11" builtinId="40"/>
    <cellStyle name="超链接" xfId="12" builtinId="8"/>
    <cellStyle name="百分比" xfId="13" builtinId="5"/>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常规_全省与省本级执行及预算表（最后稿0121 2" xfId="25"/>
    <cellStyle name="60% - 强调文字颜色 4" xfId="26" builtinId="44"/>
    <cellStyle name="输出" xfId="27" builtinId="21"/>
    <cellStyle name="计算" xfId="28" builtinId="22"/>
    <cellStyle name="检查单元格" xfId="29" builtinId="23"/>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常规_2016年（11月、万元）" xfId="36"/>
    <cellStyle name="20% - 强调文字颜色 5" xfId="37" builtinId="46"/>
    <cellStyle name="强调文字颜色 1" xfId="38" builtinId="29"/>
    <cellStyle name="20% - 强调文字颜色 1" xfId="39" builtinId="30"/>
    <cellStyle name="40% - 强调文字颜色 1" xfId="40" builtinId="31"/>
    <cellStyle name="20% - 强调文字颜色 2" xfId="41" builtinId="34"/>
    <cellStyle name="40% - 强调文字颜色 2" xfId="42" builtinId="35"/>
    <cellStyle name="强调文字颜色 3" xfId="43" builtinId="37"/>
    <cellStyle name="强调文字颜色 4" xfId="44" builtinId="41"/>
    <cellStyle name="20% - 强调文字颜色 4" xfId="45" builtinId="42"/>
    <cellStyle name="40% - 强调文字颜色 4" xfId="46" builtinId="43"/>
    <cellStyle name="强调文字颜色 5" xfId="47" builtinId="45"/>
    <cellStyle name="40% - 强调文字颜色 5" xfId="48" builtinId="47"/>
    <cellStyle name="常规_2009年政府预算表1-4" xfId="49"/>
    <cellStyle name="60% - 强调文字颜色 5" xfId="50" builtinId="48"/>
    <cellStyle name="强调文字颜色 6" xfId="51" builtinId="49"/>
    <cellStyle name="40% - 强调文字颜色 6" xfId="52" builtinId="51"/>
    <cellStyle name="60% - 强调文字颜色 6" xfId="53" builtinId="52"/>
    <cellStyle name="常规_政府性基金（1-14）_基金预算表)" xfId="54"/>
    <cellStyle name="常规_附件22015年海南省财政预算调整草案0515_2016年财力测算1117（二切表）" xfId="55"/>
    <cellStyle name="常规_政府性基金（1-14）_基金预算表（1-18）" xfId="56"/>
  </cellStyles>
  <dxfs count="1">
    <dxf>
      <font>
        <b val="1"/>
        <i val="0"/>
      </font>
    </dxf>
  </dxfs>
  <tableStyles count="0" defaultTableStyle="TableStyleMedium2" defaultPivotStyle="PivotStyleLight16"/>
  <colors>
    <mruColors>
      <color rgb="00FFC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externalLink" Target="externalLinks/externalLink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externalLink" Target="externalLinks/externalLink3.xml"/><Relationship Id="rId10" Type="http://schemas.openxmlformats.org/officeDocument/2006/relationships/externalLink" Target="externalLinks/externalLink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39044;&#31639;\2019&#39044;&#31639;\&#20154;&#22823;\RecoveredExternalLink2"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qh003\d\&#35774;&#22791;\&#21407;&#22987;\814\13%20&#38081;&#36335;&#37197;&#2021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qh003\d\&#35774;&#22791;\&#21407;&#22987;\814\20%20&#36816;&#36755;&#20844;&#2149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任务"/>
      <sheetName val="省农业厅"/>
      <sheetName val="省林业局"/>
      <sheetName val="省水务厅"/>
      <sheetName val="省海洋与渔业厅"/>
      <sheetName val="省扶贫办"/>
      <sheetName val="省农综办"/>
      <sheetName val="省西沙工委"/>
      <sheetName val="省农垦总局"/>
      <sheetName val="模板"/>
      <sheetName val="Sheet1"/>
      <sheetName val="Sheet2"/>
      <sheetName val="Sheet3"/>
      <sheetName val="13 铁路配件"/>
      <sheetName val="财力大表"/>
      <sheetName val="财力(大表) 省长汇报"/>
      <sheetName val="13_铁路配件"/>
      <sheetName val="财力(大表)_省长汇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heet2"/>
      <sheetName val="Sheet3"/>
      <sheetName val="Sheet4"/>
      <sheetName val="laroux"/>
      <sheetName val="评估结果汇总表"/>
      <sheetName val="评估分类汇总表"/>
      <sheetName val="流动资产汇总表"/>
      <sheetName val="4货币现金"/>
      <sheetName val="5银行存款"/>
      <sheetName val="11应收帐款"/>
      <sheetName val="14预付帐"/>
      <sheetName val="16其他应收"/>
      <sheetName val="存货汇总"/>
      <sheetName val="23产成品 "/>
      <sheetName val="长期投资汇总表"/>
      <sheetName val="其他投资"/>
      <sheetName val="固定资产汇总表"/>
      <sheetName val="38房屋建筑"/>
      <sheetName val="41机器设备"/>
      <sheetName val="42车辆"/>
      <sheetName val="流动负债汇总表"/>
      <sheetName val="58应付帐"/>
      <sheetName val="61其他应付"/>
      <sheetName val="62应付工资"/>
      <sheetName val="63应付福利费"/>
      <sheetName val="64应交税金"/>
      <sheetName val="应付利润"/>
      <sheetName val="其他应交款"/>
      <sheetName val="长期负债汇总表"/>
      <sheetName val="在建"/>
      <sheetName val="KKKKKKKK"/>
      <sheetName val=""/>
      <sheetName val="XL4Poppy"/>
      <sheetName val="13 铁路配件"/>
      <sheetName val="#REF!"/>
      <sheetName val="任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评估结果汇总表"/>
      <sheetName val="评估分类汇总表"/>
      <sheetName val="流动资产汇总表"/>
      <sheetName val="4货币现金"/>
      <sheetName val="5银行存款"/>
      <sheetName val="11应收帐款"/>
      <sheetName val="14预付帐"/>
      <sheetName val="16其他应收"/>
      <sheetName val="存货汇总"/>
      <sheetName val="18原材料"/>
      <sheetName val="23产成品"/>
      <sheetName val="24在产品"/>
      <sheetName val="长期投资汇总表"/>
      <sheetName val="36其他长投"/>
      <sheetName val="固定资产汇总表"/>
      <sheetName val="41机器设备"/>
      <sheetName val="42车辆"/>
      <sheetName val="流动负债汇总表"/>
      <sheetName val="58应付帐"/>
      <sheetName val="59预收款"/>
      <sheetName val="61其他应付"/>
      <sheetName val="62应付工资"/>
      <sheetName val="63应付福利费"/>
      <sheetName val="64应交税金"/>
      <sheetName val="应付利润"/>
      <sheetName val="其他应交款"/>
      <sheetName val="67预提费"/>
      <sheetName val="长期负债汇总表"/>
      <sheetName val="71长期借款"/>
      <sheetName val="KKKKKKKK"/>
      <sheetName val=""/>
      <sheetName val="XL4Poppy"/>
      <sheetName val="20 运输公司"/>
      <sheetName val="13 铁路配件"/>
      <sheetName val="任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68"/>
  <sheetViews>
    <sheetView tabSelected="1" view="pageBreakPreview" zoomScale="85" zoomScaleNormal="100" zoomScaleSheetLayoutView="85" workbookViewId="0">
      <pane xSplit="1" ySplit="6" topLeftCell="B10" activePane="bottomRight" state="frozen"/>
      <selection/>
      <selection pane="topRight"/>
      <selection pane="bottomLeft"/>
      <selection pane="bottomRight" activeCell="A2" sqref="A2:P2"/>
    </sheetView>
  </sheetViews>
  <sheetFormatPr defaultColWidth="8" defaultRowHeight="13.5"/>
  <cols>
    <col min="1" max="1" width="38.625" style="46" customWidth="1"/>
    <col min="2" max="6" width="9.625" style="47" customWidth="1"/>
    <col min="7" max="7" width="9.125" style="48" customWidth="1"/>
    <col min="8" max="8" width="9.125" style="47" customWidth="1"/>
    <col min="9" max="9" width="35.125" style="46" customWidth="1"/>
    <col min="10" max="14" width="9.625" style="47" customWidth="1"/>
    <col min="15" max="15" width="9.125" style="48" customWidth="1"/>
    <col min="16" max="16" width="9.125" style="47" customWidth="1"/>
    <col min="17" max="17" width="8.375" style="47"/>
    <col min="18" max="19" width="9.375" style="47"/>
    <col min="20" max="16370" width="8" style="47"/>
    <col min="16371" max="16384" width="8" style="32"/>
  </cols>
  <sheetData>
    <row r="1" ht="16" customHeight="1" spans="1:1">
      <c r="A1" s="51" t="s">
        <v>0</v>
      </c>
    </row>
    <row r="2" ht="23" customHeight="1" spans="1:16">
      <c r="A2" s="123" t="s">
        <v>1</v>
      </c>
      <c r="B2" s="124"/>
      <c r="C2" s="124"/>
      <c r="D2" s="124"/>
      <c r="E2" s="124"/>
      <c r="F2" s="124"/>
      <c r="G2" s="130"/>
      <c r="H2" s="124"/>
      <c r="I2" s="123"/>
      <c r="J2" s="124"/>
      <c r="K2" s="124"/>
      <c r="L2" s="124"/>
      <c r="M2" s="124"/>
      <c r="N2" s="124"/>
      <c r="O2" s="130"/>
      <c r="P2" s="124"/>
    </row>
    <row r="3" ht="16" customHeight="1" spans="3:16">
      <c r="C3" s="131"/>
      <c r="D3" s="107"/>
      <c r="K3" s="107"/>
      <c r="O3" s="88" t="s">
        <v>2</v>
      </c>
      <c r="P3" s="87"/>
    </row>
    <row r="4" s="45" customFormat="1" ht="18" customHeight="1" spans="1:16">
      <c r="A4" s="132" t="s">
        <v>3</v>
      </c>
      <c r="B4" s="133"/>
      <c r="C4" s="133"/>
      <c r="D4" s="133"/>
      <c r="E4" s="133"/>
      <c r="F4" s="133"/>
      <c r="G4" s="134"/>
      <c r="H4" s="133"/>
      <c r="I4" s="57" t="s">
        <v>4</v>
      </c>
      <c r="J4" s="58"/>
      <c r="K4" s="58"/>
      <c r="L4" s="58"/>
      <c r="M4" s="58"/>
      <c r="N4" s="58"/>
      <c r="O4" s="59"/>
      <c r="P4" s="58"/>
    </row>
    <row r="5" s="45" customFormat="1" ht="29" customHeight="1" spans="1:16">
      <c r="A5" s="60" t="s">
        <v>5</v>
      </c>
      <c r="B5" s="57" t="s">
        <v>6</v>
      </c>
      <c r="C5" s="57" t="s">
        <v>7</v>
      </c>
      <c r="D5" s="57" t="s">
        <v>8</v>
      </c>
      <c r="E5" s="57" t="s">
        <v>9</v>
      </c>
      <c r="F5" s="57" t="s">
        <v>10</v>
      </c>
      <c r="G5" s="61" t="s">
        <v>11</v>
      </c>
      <c r="H5" s="57" t="s">
        <v>12</v>
      </c>
      <c r="I5" s="91" t="s">
        <v>13</v>
      </c>
      <c r="J5" s="57" t="s">
        <v>6</v>
      </c>
      <c r="K5" s="57" t="s">
        <v>7</v>
      </c>
      <c r="L5" s="57" t="s">
        <v>8</v>
      </c>
      <c r="M5" s="57" t="s">
        <v>9</v>
      </c>
      <c r="N5" s="57" t="s">
        <v>10</v>
      </c>
      <c r="O5" s="61" t="s">
        <v>11</v>
      </c>
      <c r="P5" s="57" t="s">
        <v>12</v>
      </c>
    </row>
    <row r="6" s="45" customFormat="1" ht="29" customHeight="1" spans="1:16">
      <c r="A6" s="60"/>
      <c r="B6" s="57"/>
      <c r="C6" s="57"/>
      <c r="D6" s="57"/>
      <c r="E6" s="57"/>
      <c r="F6" s="57"/>
      <c r="G6" s="61"/>
      <c r="H6" s="57"/>
      <c r="I6" s="91"/>
      <c r="J6" s="57"/>
      <c r="K6" s="57"/>
      <c r="L6" s="57"/>
      <c r="M6" s="57"/>
      <c r="N6" s="57"/>
      <c r="O6" s="61"/>
      <c r="P6" s="57"/>
    </row>
    <row r="7" s="45" customFormat="1" ht="18" customHeight="1" spans="1:16">
      <c r="A7" s="108" t="s">
        <v>14</v>
      </c>
      <c r="B7" s="64">
        <f t="shared" ref="B7:F7" si="0">B8+B23</f>
        <v>1618582</v>
      </c>
      <c r="C7" s="64">
        <v>1618582</v>
      </c>
      <c r="D7" s="64">
        <f t="shared" si="0"/>
        <v>1552415</v>
      </c>
      <c r="E7" s="64">
        <f t="shared" si="0"/>
        <v>1599000</v>
      </c>
      <c r="F7" s="64">
        <f t="shared" si="0"/>
        <v>1599000</v>
      </c>
      <c r="G7" s="64">
        <f>F7-E7</f>
        <v>0</v>
      </c>
      <c r="H7" s="65">
        <f t="shared" ref="H7:H21" si="1">F7/E7</f>
        <v>1</v>
      </c>
      <c r="I7" s="108" t="s">
        <v>15</v>
      </c>
      <c r="J7" s="64">
        <f t="shared" ref="J7:N7" si="2">SUM(J8:J30)</f>
        <v>2443048</v>
      </c>
      <c r="K7" s="64">
        <v>2489448</v>
      </c>
      <c r="L7" s="64">
        <f t="shared" si="2"/>
        <v>2392439</v>
      </c>
      <c r="M7" s="64">
        <f t="shared" si="2"/>
        <v>2348170</v>
      </c>
      <c r="N7" s="64">
        <f t="shared" si="2"/>
        <v>2361170</v>
      </c>
      <c r="O7" s="64">
        <f t="shared" ref="O7:O30" si="3">N7-M7</f>
        <v>13000</v>
      </c>
      <c r="P7" s="65">
        <f t="shared" ref="P7:P30" si="4">N7/M7</f>
        <v>1.00553622608244</v>
      </c>
    </row>
    <row r="8" ht="18" customHeight="1" spans="1:16">
      <c r="A8" s="109" t="s">
        <v>16</v>
      </c>
      <c r="B8" s="73">
        <f t="shared" ref="B8:F8" si="5">SUM(B9:B22)</f>
        <v>1204048</v>
      </c>
      <c r="C8" s="73">
        <v>1204048</v>
      </c>
      <c r="D8" s="73">
        <f t="shared" si="5"/>
        <v>1118811</v>
      </c>
      <c r="E8" s="73">
        <f t="shared" si="5"/>
        <v>1191000</v>
      </c>
      <c r="F8" s="73">
        <f t="shared" si="5"/>
        <v>1191000</v>
      </c>
      <c r="G8" s="68">
        <f t="shared" ref="G7:G21" si="6">F8-E8</f>
        <v>0</v>
      </c>
      <c r="H8" s="69">
        <f t="shared" si="1"/>
        <v>1</v>
      </c>
      <c r="I8" s="109" t="s">
        <v>17</v>
      </c>
      <c r="J8" s="73">
        <v>258804</v>
      </c>
      <c r="K8" s="73">
        <v>258804</v>
      </c>
      <c r="L8" s="83">
        <v>244504</v>
      </c>
      <c r="M8" s="73">
        <f>240000-4500</f>
        <v>235500</v>
      </c>
      <c r="N8" s="73">
        <f>240000-4500</f>
        <v>235500</v>
      </c>
      <c r="O8" s="68">
        <f t="shared" si="3"/>
        <v>0</v>
      </c>
      <c r="P8" s="69">
        <f t="shared" si="4"/>
        <v>1</v>
      </c>
    </row>
    <row r="9" ht="18" customHeight="1" spans="1:16">
      <c r="A9" s="109" t="s">
        <v>18</v>
      </c>
      <c r="B9" s="135">
        <v>224210</v>
      </c>
      <c r="C9" s="135">
        <v>224210</v>
      </c>
      <c r="D9" s="135">
        <v>231729</v>
      </c>
      <c r="E9" s="136">
        <v>220000</v>
      </c>
      <c r="F9" s="136">
        <v>220000</v>
      </c>
      <c r="G9" s="68">
        <f t="shared" si="6"/>
        <v>0</v>
      </c>
      <c r="H9" s="69">
        <f t="shared" si="1"/>
        <v>1</v>
      </c>
      <c r="I9" s="109" t="s">
        <v>19</v>
      </c>
      <c r="J9" s="73">
        <v>0</v>
      </c>
      <c r="K9" s="73">
        <v>0</v>
      </c>
      <c r="L9" s="83">
        <v>21</v>
      </c>
      <c r="M9" s="73">
        <v>49</v>
      </c>
      <c r="N9" s="73">
        <v>49</v>
      </c>
      <c r="O9" s="68">
        <f t="shared" si="3"/>
        <v>0</v>
      </c>
      <c r="P9" s="69"/>
    </row>
    <row r="10" ht="18" customHeight="1" spans="1:16">
      <c r="A10" s="109" t="s">
        <v>20</v>
      </c>
      <c r="B10" s="135">
        <v>148400</v>
      </c>
      <c r="C10" s="135">
        <v>148400</v>
      </c>
      <c r="D10" s="135">
        <v>184189</v>
      </c>
      <c r="E10" s="136">
        <v>148377</v>
      </c>
      <c r="F10" s="136">
        <v>148377</v>
      </c>
      <c r="G10" s="68">
        <f t="shared" si="6"/>
        <v>0</v>
      </c>
      <c r="H10" s="69">
        <f t="shared" si="1"/>
        <v>1</v>
      </c>
      <c r="I10" s="109" t="s">
        <v>21</v>
      </c>
      <c r="J10" s="73">
        <v>15539</v>
      </c>
      <c r="K10" s="73">
        <v>15539</v>
      </c>
      <c r="L10" s="83">
        <v>8225</v>
      </c>
      <c r="M10" s="73">
        <f>8928+40</f>
        <v>8968</v>
      </c>
      <c r="N10" s="73">
        <f>8928+40</f>
        <v>8968</v>
      </c>
      <c r="O10" s="68">
        <f t="shared" si="3"/>
        <v>0</v>
      </c>
      <c r="P10" s="69">
        <f t="shared" si="4"/>
        <v>1</v>
      </c>
    </row>
    <row r="11" ht="18" customHeight="1" spans="1:16">
      <c r="A11" s="109" t="s">
        <v>22</v>
      </c>
      <c r="B11" s="135">
        <v>58800</v>
      </c>
      <c r="C11" s="135">
        <v>58800</v>
      </c>
      <c r="D11" s="135">
        <v>56400</v>
      </c>
      <c r="E11" s="136">
        <v>58000</v>
      </c>
      <c r="F11" s="136">
        <v>58000</v>
      </c>
      <c r="G11" s="68">
        <f t="shared" si="6"/>
        <v>0</v>
      </c>
      <c r="H11" s="69">
        <f t="shared" si="1"/>
        <v>1</v>
      </c>
      <c r="I11" s="109" t="s">
        <v>23</v>
      </c>
      <c r="J11" s="73">
        <v>122034</v>
      </c>
      <c r="K11" s="73">
        <v>122034</v>
      </c>
      <c r="L11" s="83">
        <v>120742</v>
      </c>
      <c r="M11" s="73">
        <v>120000</v>
      </c>
      <c r="N11" s="73">
        <v>120000</v>
      </c>
      <c r="O11" s="68">
        <f t="shared" si="3"/>
        <v>0</v>
      </c>
      <c r="P11" s="69">
        <f t="shared" si="4"/>
        <v>1</v>
      </c>
    </row>
    <row r="12" ht="18" customHeight="1" spans="1:16">
      <c r="A12" s="109" t="s">
        <v>24</v>
      </c>
      <c r="B12" s="135">
        <v>385</v>
      </c>
      <c r="C12" s="135">
        <v>385</v>
      </c>
      <c r="D12" s="135">
        <v>2816</v>
      </c>
      <c r="E12" s="136">
        <v>500</v>
      </c>
      <c r="F12" s="136">
        <v>500</v>
      </c>
      <c r="G12" s="68">
        <f t="shared" si="6"/>
        <v>0</v>
      </c>
      <c r="H12" s="69">
        <f t="shared" si="1"/>
        <v>1</v>
      </c>
      <c r="I12" s="109" t="s">
        <v>25</v>
      </c>
      <c r="J12" s="73">
        <f>257913+30000</f>
        <v>287913</v>
      </c>
      <c r="K12" s="73">
        <v>306413</v>
      </c>
      <c r="L12" s="83">
        <v>317386</v>
      </c>
      <c r="M12" s="73">
        <f>138266+150000+20000+10000</f>
        <v>318266</v>
      </c>
      <c r="N12" s="73">
        <f>138266+150000+20000+10000+8400</f>
        <v>326666</v>
      </c>
      <c r="O12" s="68">
        <f t="shared" si="3"/>
        <v>8400</v>
      </c>
      <c r="P12" s="69">
        <f t="shared" si="4"/>
        <v>1.02639301716175</v>
      </c>
    </row>
    <row r="13" ht="18" customHeight="1" spans="1:16">
      <c r="A13" s="109" t="s">
        <v>26</v>
      </c>
      <c r="B13" s="135">
        <v>45000</v>
      </c>
      <c r="C13" s="135">
        <v>45000</v>
      </c>
      <c r="D13" s="135">
        <v>46073</v>
      </c>
      <c r="E13" s="136">
        <v>45000</v>
      </c>
      <c r="F13" s="136">
        <v>45000</v>
      </c>
      <c r="G13" s="68">
        <f t="shared" si="6"/>
        <v>0</v>
      </c>
      <c r="H13" s="69">
        <f t="shared" si="1"/>
        <v>1</v>
      </c>
      <c r="I13" s="109" t="s">
        <v>27</v>
      </c>
      <c r="J13" s="73">
        <v>228679</v>
      </c>
      <c r="K13" s="73">
        <v>228679</v>
      </c>
      <c r="L13" s="83">
        <v>201100</v>
      </c>
      <c r="M13" s="73">
        <f>215000+18137</f>
        <v>233137</v>
      </c>
      <c r="N13" s="73">
        <f>215000+18137</f>
        <v>233137</v>
      </c>
      <c r="O13" s="68">
        <f t="shared" si="3"/>
        <v>0</v>
      </c>
      <c r="P13" s="69">
        <f t="shared" si="4"/>
        <v>1</v>
      </c>
    </row>
    <row r="14" ht="18" customHeight="1" spans="1:16">
      <c r="A14" s="109" t="s">
        <v>28</v>
      </c>
      <c r="B14" s="135">
        <v>100000</v>
      </c>
      <c r="C14" s="135">
        <v>100000</v>
      </c>
      <c r="D14" s="135">
        <v>97922</v>
      </c>
      <c r="E14" s="136">
        <v>108000</v>
      </c>
      <c r="F14" s="136">
        <v>108000</v>
      </c>
      <c r="G14" s="68">
        <f t="shared" si="6"/>
        <v>0</v>
      </c>
      <c r="H14" s="69">
        <f t="shared" si="1"/>
        <v>1</v>
      </c>
      <c r="I14" s="109" t="s">
        <v>29</v>
      </c>
      <c r="J14" s="73">
        <v>63153</v>
      </c>
      <c r="K14" s="73">
        <v>64153</v>
      </c>
      <c r="L14" s="83">
        <v>60442</v>
      </c>
      <c r="M14" s="73">
        <f>50000+9391</f>
        <v>59391</v>
      </c>
      <c r="N14" s="73">
        <f>50000+9391+1000</f>
        <v>60391</v>
      </c>
      <c r="O14" s="68">
        <f t="shared" si="3"/>
        <v>1000</v>
      </c>
      <c r="P14" s="69">
        <f t="shared" si="4"/>
        <v>1.01683756798168</v>
      </c>
    </row>
    <row r="15" ht="18" customHeight="1" spans="1:16">
      <c r="A15" s="109" t="s">
        <v>30</v>
      </c>
      <c r="B15" s="135">
        <v>25000</v>
      </c>
      <c r="C15" s="135">
        <v>25000</v>
      </c>
      <c r="D15" s="135">
        <v>28251</v>
      </c>
      <c r="E15" s="136">
        <v>25000</v>
      </c>
      <c r="F15" s="136">
        <v>25000</v>
      </c>
      <c r="G15" s="68">
        <f t="shared" si="6"/>
        <v>0</v>
      </c>
      <c r="H15" s="69">
        <f t="shared" si="1"/>
        <v>1</v>
      </c>
      <c r="I15" s="109" t="s">
        <v>31</v>
      </c>
      <c r="J15" s="73">
        <v>226247</v>
      </c>
      <c r="K15" s="73">
        <v>226247</v>
      </c>
      <c r="L15" s="83">
        <v>201904</v>
      </c>
      <c r="M15" s="73">
        <f>189000+30000</f>
        <v>219000</v>
      </c>
      <c r="N15" s="73">
        <f>189000+30000</f>
        <v>219000</v>
      </c>
      <c r="O15" s="68">
        <f t="shared" si="3"/>
        <v>0</v>
      </c>
      <c r="P15" s="69">
        <f t="shared" si="4"/>
        <v>1</v>
      </c>
    </row>
    <row r="16" ht="18" customHeight="1" spans="1:17">
      <c r="A16" s="109" t="s">
        <v>32</v>
      </c>
      <c r="B16" s="135">
        <v>40000</v>
      </c>
      <c r="C16" s="135">
        <v>40000</v>
      </c>
      <c r="D16" s="135">
        <v>39575</v>
      </c>
      <c r="E16" s="136">
        <v>43000</v>
      </c>
      <c r="F16" s="136">
        <v>43000</v>
      </c>
      <c r="G16" s="68">
        <f t="shared" si="6"/>
        <v>0</v>
      </c>
      <c r="H16" s="69">
        <f t="shared" si="1"/>
        <v>1</v>
      </c>
      <c r="I16" s="109" t="s">
        <v>33</v>
      </c>
      <c r="J16" s="73">
        <v>265413</v>
      </c>
      <c r="K16" s="73">
        <v>265413</v>
      </c>
      <c r="L16" s="83">
        <v>248250</v>
      </c>
      <c r="M16" s="73">
        <f>170000+40000+42673+1093</f>
        <v>253766</v>
      </c>
      <c r="N16" s="73">
        <f>170000+40000+42673+1093</f>
        <v>253766</v>
      </c>
      <c r="O16" s="68">
        <f t="shared" si="3"/>
        <v>0</v>
      </c>
      <c r="P16" s="69">
        <f t="shared" si="4"/>
        <v>1</v>
      </c>
      <c r="Q16" s="45"/>
    </row>
    <row r="17" ht="18" customHeight="1" spans="1:16">
      <c r="A17" s="109" t="s">
        <v>34</v>
      </c>
      <c r="B17" s="135">
        <f>348903-10000</f>
        <v>338903</v>
      </c>
      <c r="C17" s="135">
        <v>338903</v>
      </c>
      <c r="D17" s="135">
        <v>217446</v>
      </c>
      <c r="E17" s="136">
        <v>280000</v>
      </c>
      <c r="F17" s="136">
        <v>280000</v>
      </c>
      <c r="G17" s="68">
        <f t="shared" si="6"/>
        <v>0</v>
      </c>
      <c r="H17" s="69">
        <f t="shared" si="1"/>
        <v>1</v>
      </c>
      <c r="I17" s="109" t="s">
        <v>35</v>
      </c>
      <c r="J17" s="73">
        <v>44329</v>
      </c>
      <c r="K17" s="73">
        <v>44329</v>
      </c>
      <c r="L17" s="83">
        <v>45836</v>
      </c>
      <c r="M17" s="73">
        <v>43000</v>
      </c>
      <c r="N17" s="73">
        <v>43000</v>
      </c>
      <c r="O17" s="68">
        <f t="shared" si="3"/>
        <v>0</v>
      </c>
      <c r="P17" s="69">
        <f t="shared" si="4"/>
        <v>1</v>
      </c>
    </row>
    <row r="18" ht="18" customHeight="1" spans="1:17">
      <c r="A18" s="109" t="s">
        <v>36</v>
      </c>
      <c r="B18" s="135">
        <v>15000</v>
      </c>
      <c r="C18" s="135">
        <v>15000</v>
      </c>
      <c r="D18" s="135">
        <v>9357</v>
      </c>
      <c r="E18" s="136">
        <v>9500</v>
      </c>
      <c r="F18" s="136">
        <v>9500</v>
      </c>
      <c r="G18" s="68">
        <f t="shared" si="6"/>
        <v>0</v>
      </c>
      <c r="H18" s="69">
        <f t="shared" si="1"/>
        <v>1</v>
      </c>
      <c r="I18" s="109" t="s">
        <v>37</v>
      </c>
      <c r="J18" s="73">
        <v>197305</v>
      </c>
      <c r="K18" s="73">
        <v>232205</v>
      </c>
      <c r="L18" s="83">
        <v>281150</v>
      </c>
      <c r="M18" s="73">
        <f>179000-18137-27897</f>
        <v>132966</v>
      </c>
      <c r="N18" s="73">
        <f>179000-18137-27897+15900</f>
        <v>148866</v>
      </c>
      <c r="O18" s="68">
        <f t="shared" si="3"/>
        <v>15900</v>
      </c>
      <c r="P18" s="69">
        <f t="shared" si="4"/>
        <v>1.11957944136095</v>
      </c>
      <c r="Q18" s="45"/>
    </row>
    <row r="19" ht="18" customHeight="1" spans="1:16">
      <c r="A19" s="109" t="s">
        <v>38</v>
      </c>
      <c r="B19" s="135">
        <v>8000</v>
      </c>
      <c r="C19" s="135">
        <v>8000</v>
      </c>
      <c r="D19" s="135">
        <v>7565</v>
      </c>
      <c r="E19" s="136">
        <v>8000</v>
      </c>
      <c r="F19" s="136">
        <v>8000</v>
      </c>
      <c r="G19" s="68">
        <f t="shared" si="6"/>
        <v>0</v>
      </c>
      <c r="H19" s="69">
        <f t="shared" si="1"/>
        <v>1</v>
      </c>
      <c r="I19" s="109" t="s">
        <v>39</v>
      </c>
      <c r="J19" s="73">
        <v>242662</v>
      </c>
      <c r="K19" s="73">
        <f>245662</f>
        <v>245662</v>
      </c>
      <c r="L19" s="83">
        <v>245442</v>
      </c>
      <c r="M19" s="73">
        <f>137136+110000+1000-2336</f>
        <v>245800</v>
      </c>
      <c r="N19" s="73">
        <f>137136+110000+1000-2336</f>
        <v>245800</v>
      </c>
      <c r="O19" s="68">
        <f t="shared" si="3"/>
        <v>0</v>
      </c>
      <c r="P19" s="69">
        <f t="shared" si="4"/>
        <v>1</v>
      </c>
    </row>
    <row r="20" ht="18" customHeight="1" spans="1:16">
      <c r="A20" s="109" t="s">
        <v>40</v>
      </c>
      <c r="B20" s="135">
        <v>200000</v>
      </c>
      <c r="C20" s="135">
        <v>200000</v>
      </c>
      <c r="D20" s="135">
        <v>196645</v>
      </c>
      <c r="E20" s="136">
        <v>245423</v>
      </c>
      <c r="F20" s="136">
        <v>245423</v>
      </c>
      <c r="G20" s="68">
        <f t="shared" si="6"/>
        <v>0</v>
      </c>
      <c r="H20" s="69">
        <f t="shared" si="1"/>
        <v>1</v>
      </c>
      <c r="I20" s="109" t="s">
        <v>41</v>
      </c>
      <c r="J20" s="73">
        <v>146398</v>
      </c>
      <c r="K20" s="73">
        <v>147398</v>
      </c>
      <c r="L20" s="83">
        <v>93533</v>
      </c>
      <c r="M20" s="73">
        <f>92216+50000-14000+20000</f>
        <v>148216</v>
      </c>
      <c r="N20" s="73">
        <f>92216+50000-14000+20000+4700</f>
        <v>152916</v>
      </c>
      <c r="O20" s="68">
        <f t="shared" si="3"/>
        <v>4700</v>
      </c>
      <c r="P20" s="69">
        <f t="shared" si="4"/>
        <v>1.03171047660172</v>
      </c>
    </row>
    <row r="21" ht="18" customHeight="1" spans="1:16">
      <c r="A21" s="109" t="s">
        <v>42</v>
      </c>
      <c r="B21" s="135">
        <v>350</v>
      </c>
      <c r="C21" s="135">
        <v>350</v>
      </c>
      <c r="D21" s="135">
        <v>224</v>
      </c>
      <c r="E21" s="136">
        <v>200</v>
      </c>
      <c r="F21" s="136">
        <v>200</v>
      </c>
      <c r="G21" s="68">
        <f t="shared" si="6"/>
        <v>0</v>
      </c>
      <c r="H21" s="69">
        <f t="shared" si="1"/>
        <v>1</v>
      </c>
      <c r="I21" s="109" t="s">
        <v>43</v>
      </c>
      <c r="J21" s="73">
        <v>6231</v>
      </c>
      <c r="K21" s="73">
        <v>6231</v>
      </c>
      <c r="L21" s="83">
        <v>36593</v>
      </c>
      <c r="M21" s="73">
        <f>30000+43000</f>
        <v>73000</v>
      </c>
      <c r="N21" s="73">
        <f>30000+43000</f>
        <v>73000</v>
      </c>
      <c r="O21" s="68">
        <f t="shared" si="3"/>
        <v>0</v>
      </c>
      <c r="P21" s="69">
        <f t="shared" si="4"/>
        <v>1</v>
      </c>
    </row>
    <row r="22" ht="18" customHeight="1" spans="1:16">
      <c r="A22" s="109" t="s">
        <v>44</v>
      </c>
      <c r="B22" s="135"/>
      <c r="C22" s="135"/>
      <c r="D22" s="135">
        <v>619</v>
      </c>
      <c r="E22" s="136"/>
      <c r="F22" s="136"/>
      <c r="G22" s="68"/>
      <c r="H22" s="110"/>
      <c r="I22" s="109" t="s">
        <v>45</v>
      </c>
      <c r="J22" s="73">
        <v>6131</v>
      </c>
      <c r="K22" s="73">
        <v>6131</v>
      </c>
      <c r="L22" s="83">
        <v>39763</v>
      </c>
      <c r="M22" s="73">
        <v>42000</v>
      </c>
      <c r="N22" s="73">
        <v>42000</v>
      </c>
      <c r="O22" s="68">
        <f t="shared" si="3"/>
        <v>0</v>
      </c>
      <c r="P22" s="69">
        <f t="shared" si="4"/>
        <v>1</v>
      </c>
    </row>
    <row r="23" ht="18" customHeight="1" spans="1:17">
      <c r="A23" s="109" t="s">
        <v>46</v>
      </c>
      <c r="B23" s="73">
        <f t="shared" ref="B23:F23" si="7">SUM(B24:B31)</f>
        <v>414534</v>
      </c>
      <c r="C23" s="73">
        <v>414534</v>
      </c>
      <c r="D23" s="73">
        <f t="shared" si="7"/>
        <v>433604</v>
      </c>
      <c r="E23" s="73">
        <f t="shared" si="7"/>
        <v>408000</v>
      </c>
      <c r="F23" s="73">
        <f t="shared" si="7"/>
        <v>408000</v>
      </c>
      <c r="G23" s="68">
        <f t="shared" ref="G23:G26" si="8">F23-E23</f>
        <v>0</v>
      </c>
      <c r="H23" s="69">
        <f t="shared" ref="H23:H26" si="9">F23/E23</f>
        <v>1</v>
      </c>
      <c r="I23" s="109" t="s">
        <v>47</v>
      </c>
      <c r="J23" s="73">
        <v>8087</v>
      </c>
      <c r="K23" s="73">
        <v>8087</v>
      </c>
      <c r="L23" s="83">
        <v>6531</v>
      </c>
      <c r="M23" s="73">
        <v>11000</v>
      </c>
      <c r="N23" s="73">
        <v>11000</v>
      </c>
      <c r="O23" s="68">
        <f t="shared" si="3"/>
        <v>0</v>
      </c>
      <c r="P23" s="69">
        <f t="shared" si="4"/>
        <v>1</v>
      </c>
      <c r="Q23" s="45"/>
    </row>
    <row r="24" ht="18" customHeight="1" spans="1:16">
      <c r="A24" s="109" t="s">
        <v>48</v>
      </c>
      <c r="B24" s="136">
        <f>275952+40000+2400-15400-20000</f>
        <v>282952</v>
      </c>
      <c r="C24" s="136">
        <v>282952</v>
      </c>
      <c r="D24" s="136">
        <v>318576</v>
      </c>
      <c r="E24" s="136">
        <v>308000</v>
      </c>
      <c r="F24" s="136">
        <v>308000</v>
      </c>
      <c r="G24" s="68">
        <f t="shared" si="8"/>
        <v>0</v>
      </c>
      <c r="H24" s="69">
        <f t="shared" si="9"/>
        <v>1</v>
      </c>
      <c r="I24" s="109" t="s">
        <v>49</v>
      </c>
      <c r="J24" s="73">
        <v>129536</v>
      </c>
      <c r="K24" s="73">
        <v>129536</v>
      </c>
      <c r="L24" s="83">
        <v>97718</v>
      </c>
      <c r="M24" s="73">
        <v>58000</v>
      </c>
      <c r="N24" s="73">
        <v>58000</v>
      </c>
      <c r="O24" s="68">
        <f t="shared" si="3"/>
        <v>0</v>
      </c>
      <c r="P24" s="69">
        <f t="shared" si="4"/>
        <v>1</v>
      </c>
    </row>
    <row r="25" ht="18" customHeight="1" spans="1:16">
      <c r="A25" s="109" t="s">
        <v>50</v>
      </c>
      <c r="B25" s="136">
        <v>30000</v>
      </c>
      <c r="C25" s="136">
        <v>30000</v>
      </c>
      <c r="D25" s="136">
        <v>41046</v>
      </c>
      <c r="E25" s="136">
        <v>41000</v>
      </c>
      <c r="F25" s="136">
        <v>41000</v>
      </c>
      <c r="G25" s="68">
        <f t="shared" si="8"/>
        <v>0</v>
      </c>
      <c r="H25" s="69">
        <f t="shared" si="9"/>
        <v>1</v>
      </c>
      <c r="I25" s="109" t="s">
        <v>51</v>
      </c>
      <c r="J25" s="73">
        <v>41739</v>
      </c>
      <c r="K25" s="73">
        <v>41739</v>
      </c>
      <c r="L25" s="83">
        <v>38852</v>
      </c>
      <c r="M25" s="73">
        <v>35000</v>
      </c>
      <c r="N25" s="73">
        <v>35000</v>
      </c>
      <c r="O25" s="68">
        <f t="shared" si="3"/>
        <v>0</v>
      </c>
      <c r="P25" s="69">
        <f t="shared" si="4"/>
        <v>1</v>
      </c>
    </row>
    <row r="26" ht="18" customHeight="1" spans="1:16">
      <c r="A26" s="109" t="s">
        <v>52</v>
      </c>
      <c r="B26" s="136">
        <f>40000+1582+10000</f>
        <v>51582</v>
      </c>
      <c r="C26" s="136">
        <v>51582</v>
      </c>
      <c r="D26" s="136">
        <v>27470</v>
      </c>
      <c r="E26" s="136">
        <f>10000+8000</f>
        <v>18000</v>
      </c>
      <c r="F26" s="136">
        <f>10000+8000</f>
        <v>18000</v>
      </c>
      <c r="G26" s="68">
        <f t="shared" si="8"/>
        <v>0</v>
      </c>
      <c r="H26" s="69">
        <f t="shared" si="9"/>
        <v>1</v>
      </c>
      <c r="I26" s="109" t="s">
        <v>53</v>
      </c>
      <c r="J26" s="73">
        <v>299</v>
      </c>
      <c r="K26" s="73">
        <v>299</v>
      </c>
      <c r="L26" s="83">
        <v>54</v>
      </c>
      <c r="M26" s="73">
        <v>0</v>
      </c>
      <c r="N26" s="73">
        <v>0</v>
      </c>
      <c r="O26" s="68">
        <f t="shared" si="3"/>
        <v>0</v>
      </c>
      <c r="P26" s="69"/>
    </row>
    <row r="27" ht="18" customHeight="1" spans="1:16">
      <c r="A27" s="109" t="s">
        <v>54</v>
      </c>
      <c r="B27" s="136"/>
      <c r="C27" s="136"/>
      <c r="D27" s="136"/>
      <c r="E27" s="136"/>
      <c r="F27" s="136"/>
      <c r="G27" s="68"/>
      <c r="H27" s="110"/>
      <c r="I27" s="109" t="s">
        <v>55</v>
      </c>
      <c r="J27" s="73">
        <v>21522</v>
      </c>
      <c r="K27" s="73">
        <v>21522</v>
      </c>
      <c r="L27" s="83">
        <v>22704</v>
      </c>
      <c r="M27" s="73">
        <v>14659</v>
      </c>
      <c r="N27" s="73">
        <v>14659</v>
      </c>
      <c r="O27" s="68">
        <f t="shared" si="3"/>
        <v>0</v>
      </c>
      <c r="P27" s="69">
        <f t="shared" si="4"/>
        <v>1</v>
      </c>
    </row>
    <row r="28" ht="18" customHeight="1" spans="1:16">
      <c r="A28" s="109" t="s">
        <v>56</v>
      </c>
      <c r="B28" s="136">
        <f>33000+10000</f>
        <v>43000</v>
      </c>
      <c r="C28" s="136">
        <v>43000</v>
      </c>
      <c r="D28" s="136">
        <v>37785</v>
      </c>
      <c r="E28" s="136">
        <v>33000</v>
      </c>
      <c r="F28" s="136">
        <v>33000</v>
      </c>
      <c r="G28" s="68">
        <f>F28-E28</f>
        <v>0</v>
      </c>
      <c r="H28" s="69">
        <f>F28/E28</f>
        <v>1</v>
      </c>
      <c r="I28" s="109" t="s">
        <v>57</v>
      </c>
      <c r="J28" s="73">
        <f>109336-30000</f>
        <v>79336</v>
      </c>
      <c r="K28" s="73">
        <v>67336</v>
      </c>
      <c r="L28" s="83">
        <v>31115</v>
      </c>
      <c r="M28" s="73">
        <f>60000-13000</f>
        <v>47000</v>
      </c>
      <c r="N28" s="73">
        <f>60000-13000-17000</f>
        <v>30000</v>
      </c>
      <c r="O28" s="68">
        <f t="shared" si="3"/>
        <v>-17000</v>
      </c>
      <c r="P28" s="69">
        <f t="shared" si="4"/>
        <v>0.638297872340426</v>
      </c>
    </row>
    <row r="29" ht="18" customHeight="1" spans="1:16">
      <c r="A29" s="109" t="s">
        <v>58</v>
      </c>
      <c r="B29" s="136"/>
      <c r="C29" s="136"/>
      <c r="D29" s="136">
        <v>40</v>
      </c>
      <c r="E29" s="136"/>
      <c r="F29" s="136"/>
      <c r="G29" s="68"/>
      <c r="H29" s="69"/>
      <c r="I29" s="109" t="s">
        <v>59</v>
      </c>
      <c r="J29" s="73">
        <v>51368</v>
      </c>
      <c r="K29" s="73">
        <v>51368</v>
      </c>
      <c r="L29" s="83">
        <v>50368</v>
      </c>
      <c r="M29" s="73">
        <v>49080</v>
      </c>
      <c r="N29" s="73">
        <v>49080</v>
      </c>
      <c r="O29" s="68">
        <f t="shared" si="3"/>
        <v>0</v>
      </c>
      <c r="P29" s="69">
        <f t="shared" si="4"/>
        <v>1</v>
      </c>
    </row>
    <row r="30" ht="18" customHeight="1" spans="1:16">
      <c r="A30" s="109" t="s">
        <v>60</v>
      </c>
      <c r="B30" s="136"/>
      <c r="C30" s="136"/>
      <c r="D30" s="136">
        <v>22</v>
      </c>
      <c r="E30" s="136"/>
      <c r="F30" s="136"/>
      <c r="G30" s="68"/>
      <c r="H30" s="69"/>
      <c r="I30" s="109" t="s">
        <v>61</v>
      </c>
      <c r="J30" s="73">
        <v>323</v>
      </c>
      <c r="K30" s="73">
        <v>323</v>
      </c>
      <c r="L30" s="83">
        <v>206</v>
      </c>
      <c r="M30" s="73">
        <v>372</v>
      </c>
      <c r="N30" s="73">
        <v>372</v>
      </c>
      <c r="O30" s="68">
        <f t="shared" si="3"/>
        <v>0</v>
      </c>
      <c r="P30" s="69">
        <f t="shared" si="4"/>
        <v>1</v>
      </c>
    </row>
    <row r="31" ht="18" customHeight="1" spans="1:16">
      <c r="A31" s="109" t="s">
        <v>62</v>
      </c>
      <c r="B31" s="136">
        <v>7000</v>
      </c>
      <c r="C31" s="136">
        <v>7000</v>
      </c>
      <c r="D31" s="136">
        <v>8665</v>
      </c>
      <c r="E31" s="136">
        <v>8000</v>
      </c>
      <c r="F31" s="136">
        <v>8000</v>
      </c>
      <c r="G31" s="68">
        <f>F31-E31</f>
        <v>0</v>
      </c>
      <c r="H31" s="69">
        <f>F31/E31</f>
        <v>1</v>
      </c>
      <c r="I31" s="75"/>
      <c r="J31" s="72"/>
      <c r="K31" s="72"/>
      <c r="L31" s="72"/>
      <c r="M31" s="72"/>
      <c r="N31" s="72"/>
      <c r="O31" s="117"/>
      <c r="P31" s="110"/>
    </row>
    <row r="32" s="45" customFormat="1" ht="18" customHeight="1" spans="1:17">
      <c r="A32" s="111"/>
      <c r="B32" s="64"/>
      <c r="C32" s="64"/>
      <c r="D32" s="64"/>
      <c r="E32" s="64"/>
      <c r="F32" s="64"/>
      <c r="G32" s="81"/>
      <c r="H32" s="120"/>
      <c r="I32" s="108" t="s">
        <v>63</v>
      </c>
      <c r="J32" s="63">
        <v>26000</v>
      </c>
      <c r="K32" s="63">
        <v>26000</v>
      </c>
      <c r="L32" s="63"/>
      <c r="M32" s="63">
        <v>26000</v>
      </c>
      <c r="N32" s="63">
        <v>26000</v>
      </c>
      <c r="O32" s="119">
        <f>(M32/J32-1)*100</f>
        <v>0</v>
      </c>
      <c r="P32" s="120"/>
      <c r="Q32" s="47"/>
    </row>
    <row r="33" ht="8" customHeight="1" spans="1:16">
      <c r="A33" s="109"/>
      <c r="B33" s="73"/>
      <c r="C33" s="73"/>
      <c r="D33" s="73"/>
      <c r="E33" s="73"/>
      <c r="F33" s="73"/>
      <c r="G33" s="68"/>
      <c r="H33" s="110"/>
      <c r="I33" s="111"/>
      <c r="J33" s="72"/>
      <c r="K33" s="72"/>
      <c r="L33" s="72"/>
      <c r="M33" s="72"/>
      <c r="N33" s="72"/>
      <c r="O33" s="117"/>
      <c r="P33" s="110"/>
    </row>
    <row r="34" s="45" customFormat="1" ht="18.6" customHeight="1" spans="1:17">
      <c r="A34" s="114" t="s">
        <v>64</v>
      </c>
      <c r="B34" s="64">
        <f t="shared" ref="B34:F34" si="10">SUM(B35:B38)</f>
        <v>191213</v>
      </c>
      <c r="C34" s="63">
        <v>237613</v>
      </c>
      <c r="D34" s="64">
        <f t="shared" si="10"/>
        <v>237613</v>
      </c>
      <c r="E34" s="64">
        <f t="shared" si="10"/>
        <v>201900</v>
      </c>
      <c r="F34" s="64">
        <f t="shared" si="10"/>
        <v>214900</v>
      </c>
      <c r="G34" s="81">
        <f>F34-E34</f>
        <v>13000</v>
      </c>
      <c r="H34" s="65">
        <f>F34/E34</f>
        <v>1.06438831104507</v>
      </c>
      <c r="I34" s="114" t="s">
        <v>65</v>
      </c>
      <c r="J34" s="63">
        <f t="shared" ref="J34:N34" si="11">SUM(J35:J36)</f>
        <v>213255</v>
      </c>
      <c r="K34" s="63">
        <v>213255</v>
      </c>
      <c r="L34" s="63">
        <f t="shared" si="11"/>
        <v>213255</v>
      </c>
      <c r="M34" s="63">
        <f t="shared" si="11"/>
        <v>205496</v>
      </c>
      <c r="N34" s="63">
        <f t="shared" si="11"/>
        <v>205496</v>
      </c>
      <c r="O34" s="81">
        <f t="shared" ref="O34:O42" si="12">N34-M34</f>
        <v>0</v>
      </c>
      <c r="P34" s="65">
        <f t="shared" ref="P34:P42" si="13">N34/M34</f>
        <v>1</v>
      </c>
      <c r="Q34" s="47"/>
    </row>
    <row r="35" ht="18.6" customHeight="1" spans="1:16">
      <c r="A35" s="77" t="s">
        <v>66</v>
      </c>
      <c r="B35" s="73">
        <v>12000</v>
      </c>
      <c r="C35" s="73">
        <v>58400</v>
      </c>
      <c r="D35" s="73">
        <v>58400</v>
      </c>
      <c r="E35" s="73">
        <v>17000</v>
      </c>
      <c r="F35" s="73">
        <f>17000+13000</f>
        <v>30000</v>
      </c>
      <c r="G35" s="68">
        <f t="shared" ref="G35:G41" si="14">F35-E35</f>
        <v>13000</v>
      </c>
      <c r="H35" s="69">
        <f t="shared" ref="H35:H41" si="15">F35/E35</f>
        <v>1.76470588235294</v>
      </c>
      <c r="I35" s="79" t="s">
        <v>67</v>
      </c>
      <c r="J35" s="73">
        <v>199125</v>
      </c>
      <c r="K35" s="73">
        <v>199125</v>
      </c>
      <c r="L35" s="73">
        <v>199125</v>
      </c>
      <c r="M35" s="73">
        <v>205496</v>
      </c>
      <c r="N35" s="73">
        <v>205496</v>
      </c>
      <c r="O35" s="68">
        <f t="shared" si="12"/>
        <v>0</v>
      </c>
      <c r="P35" s="69">
        <f t="shared" si="13"/>
        <v>1</v>
      </c>
    </row>
    <row r="36" ht="18.6" customHeight="1" spans="1:16">
      <c r="A36" s="77" t="s">
        <v>68</v>
      </c>
      <c r="B36" s="73"/>
      <c r="C36" s="73"/>
      <c r="D36" s="73"/>
      <c r="E36" s="73"/>
      <c r="F36" s="73"/>
      <c r="G36" s="74"/>
      <c r="H36" s="116"/>
      <c r="I36" s="79" t="s">
        <v>69</v>
      </c>
      <c r="J36" s="73">
        <f>7972+6158</f>
        <v>14130</v>
      </c>
      <c r="K36" s="73">
        <v>14130</v>
      </c>
      <c r="L36" s="73">
        <v>14130</v>
      </c>
      <c r="M36" s="73"/>
      <c r="N36" s="73"/>
      <c r="O36" s="74"/>
      <c r="P36" s="116"/>
    </row>
    <row r="37" ht="18.6" customHeight="1" spans="1:16">
      <c r="A37" s="77" t="s">
        <v>70</v>
      </c>
      <c r="B37" s="73"/>
      <c r="C37" s="73"/>
      <c r="D37" s="73"/>
      <c r="E37" s="73"/>
      <c r="F37" s="73"/>
      <c r="G37" s="74"/>
      <c r="H37" s="116"/>
      <c r="I37" s="75"/>
      <c r="J37" s="72"/>
      <c r="K37" s="72"/>
      <c r="L37" s="72"/>
      <c r="M37" s="72"/>
      <c r="N37" s="72"/>
      <c r="O37" s="74"/>
      <c r="P37" s="116"/>
    </row>
    <row r="38" ht="18.6" customHeight="1" spans="1:16">
      <c r="A38" s="77" t="s">
        <v>71</v>
      </c>
      <c r="B38" s="73">
        <v>179213</v>
      </c>
      <c r="C38" s="73">
        <v>179213</v>
      </c>
      <c r="D38" s="73">
        <v>179213</v>
      </c>
      <c r="E38" s="73">
        <v>184900</v>
      </c>
      <c r="F38" s="73">
        <v>184900</v>
      </c>
      <c r="G38" s="68">
        <f t="shared" si="14"/>
        <v>0</v>
      </c>
      <c r="H38" s="69">
        <f t="shared" si="15"/>
        <v>1</v>
      </c>
      <c r="I38" s="75"/>
      <c r="J38" s="72"/>
      <c r="K38" s="72"/>
      <c r="L38" s="72"/>
      <c r="M38" s="72"/>
      <c r="N38" s="72"/>
      <c r="O38" s="74"/>
      <c r="P38" s="116"/>
    </row>
    <row r="39" s="45" customFormat="1" ht="19.7" customHeight="1" spans="1:17">
      <c r="A39" s="114" t="s">
        <v>72</v>
      </c>
      <c r="B39" s="64">
        <f t="shared" ref="B39:F39" si="16">B40+B65+B66+B67</f>
        <v>1227558</v>
      </c>
      <c r="C39" s="64">
        <v>1227558</v>
      </c>
      <c r="D39" s="64">
        <f t="shared" si="16"/>
        <v>1596827</v>
      </c>
      <c r="E39" s="64">
        <f t="shared" si="16"/>
        <v>1137865</v>
      </c>
      <c r="F39" s="64">
        <f t="shared" si="16"/>
        <v>1137865</v>
      </c>
      <c r="G39" s="81">
        <f t="shared" si="14"/>
        <v>0</v>
      </c>
      <c r="H39" s="65">
        <f t="shared" si="15"/>
        <v>1</v>
      </c>
      <c r="I39" s="114" t="s">
        <v>73</v>
      </c>
      <c r="J39" s="63">
        <f t="shared" ref="J39:N39" si="17">J40+J43+J44+J45+J46</f>
        <v>355050</v>
      </c>
      <c r="K39" s="63">
        <v>355050</v>
      </c>
      <c r="L39" s="63">
        <f t="shared" si="17"/>
        <v>781161</v>
      </c>
      <c r="M39" s="63">
        <f t="shared" si="17"/>
        <v>359099</v>
      </c>
      <c r="N39" s="63">
        <f t="shared" si="17"/>
        <v>359099</v>
      </c>
      <c r="O39" s="81">
        <f t="shared" si="12"/>
        <v>0</v>
      </c>
      <c r="P39" s="65">
        <f t="shared" si="13"/>
        <v>1</v>
      </c>
      <c r="Q39" s="47"/>
    </row>
    <row r="40" ht="18" customHeight="1" spans="1:16">
      <c r="A40" s="79" t="s">
        <v>74</v>
      </c>
      <c r="B40" s="73">
        <f t="shared" ref="B40:F40" si="18">B41+B47+B64</f>
        <v>772535</v>
      </c>
      <c r="C40" s="73">
        <v>772535</v>
      </c>
      <c r="D40" s="72">
        <f t="shared" si="18"/>
        <v>1100818</v>
      </c>
      <c r="E40" s="72">
        <f t="shared" si="18"/>
        <v>662955</v>
      </c>
      <c r="F40" s="72">
        <f t="shared" si="18"/>
        <v>662955</v>
      </c>
      <c r="G40" s="68">
        <f t="shared" si="14"/>
        <v>0</v>
      </c>
      <c r="H40" s="69">
        <f t="shared" si="15"/>
        <v>1</v>
      </c>
      <c r="I40" s="79" t="s">
        <v>75</v>
      </c>
      <c r="J40" s="73">
        <f>SUM(J41:J42)</f>
        <v>325050</v>
      </c>
      <c r="K40" s="73">
        <v>325050</v>
      </c>
      <c r="L40" s="72">
        <f t="shared" ref="L40:N40" si="19">L41+L42</f>
        <v>353803</v>
      </c>
      <c r="M40" s="73">
        <f t="shared" si="19"/>
        <v>325466</v>
      </c>
      <c r="N40" s="73">
        <f t="shared" si="19"/>
        <v>325466</v>
      </c>
      <c r="O40" s="68">
        <f t="shared" si="12"/>
        <v>0</v>
      </c>
      <c r="P40" s="69">
        <f t="shared" si="13"/>
        <v>1</v>
      </c>
    </row>
    <row r="41" ht="18" customHeight="1" spans="1:16">
      <c r="A41" s="79" t="s">
        <v>76</v>
      </c>
      <c r="B41" s="73">
        <f t="shared" ref="B41:F41" si="20">SUM(B42:B46)</f>
        <v>108507</v>
      </c>
      <c r="C41" s="73">
        <v>108507</v>
      </c>
      <c r="D41" s="72">
        <f t="shared" si="20"/>
        <v>108507</v>
      </c>
      <c r="E41" s="72">
        <f t="shared" si="20"/>
        <v>108507</v>
      </c>
      <c r="F41" s="72">
        <f t="shared" si="20"/>
        <v>108507</v>
      </c>
      <c r="G41" s="68">
        <f t="shared" si="14"/>
        <v>0</v>
      </c>
      <c r="H41" s="69">
        <f t="shared" si="15"/>
        <v>1</v>
      </c>
      <c r="I41" s="75" t="s">
        <v>77</v>
      </c>
      <c r="J41" s="73">
        <v>292509</v>
      </c>
      <c r="K41" s="73">
        <v>292509</v>
      </c>
      <c r="L41" s="72">
        <v>292509</v>
      </c>
      <c r="M41" s="73">
        <v>292509</v>
      </c>
      <c r="N41" s="73">
        <v>292509</v>
      </c>
      <c r="O41" s="68">
        <f t="shared" si="12"/>
        <v>0</v>
      </c>
      <c r="P41" s="69">
        <f t="shared" si="13"/>
        <v>1</v>
      </c>
    </row>
    <row r="42" ht="18" customHeight="1" spans="1:16">
      <c r="A42" s="79" t="s">
        <v>78</v>
      </c>
      <c r="B42" s="73">
        <v>4040</v>
      </c>
      <c r="C42" s="73">
        <v>4040</v>
      </c>
      <c r="D42" s="72">
        <v>4040</v>
      </c>
      <c r="E42" s="72">
        <v>4040</v>
      </c>
      <c r="F42" s="72">
        <v>4040</v>
      </c>
      <c r="G42" s="68">
        <f t="shared" ref="G42:G50" si="21">F42-E42</f>
        <v>0</v>
      </c>
      <c r="H42" s="69">
        <f t="shared" ref="H42:H50" si="22">F42/E42</f>
        <v>1</v>
      </c>
      <c r="I42" s="75" t="s">
        <v>79</v>
      </c>
      <c r="J42" s="73">
        <f>373737-292509-48687</f>
        <v>32541</v>
      </c>
      <c r="K42" s="73">
        <v>32541</v>
      </c>
      <c r="L42" s="72">
        <f>32541+16590+8063+4100</f>
        <v>61294</v>
      </c>
      <c r="M42" s="73">
        <v>32957</v>
      </c>
      <c r="N42" s="73">
        <v>32957</v>
      </c>
      <c r="O42" s="68">
        <f t="shared" si="12"/>
        <v>0</v>
      </c>
      <c r="P42" s="69">
        <f t="shared" si="13"/>
        <v>1</v>
      </c>
    </row>
    <row r="43" ht="18" customHeight="1" spans="1:16">
      <c r="A43" s="79" t="s">
        <v>80</v>
      </c>
      <c r="B43" s="73"/>
      <c r="C43" s="73"/>
      <c r="D43" s="72"/>
      <c r="E43" s="72"/>
      <c r="F43" s="72"/>
      <c r="G43" s="68">
        <f t="shared" si="21"/>
        <v>0</v>
      </c>
      <c r="H43" s="69"/>
      <c r="I43" s="79" t="s">
        <v>81</v>
      </c>
      <c r="J43" s="73"/>
      <c r="K43" s="73"/>
      <c r="L43" s="73"/>
      <c r="M43" s="73"/>
      <c r="N43" s="73"/>
      <c r="O43" s="117"/>
      <c r="P43" s="110"/>
    </row>
    <row r="44" ht="18" customHeight="1" spans="1:16">
      <c r="A44" s="79" t="s">
        <v>82</v>
      </c>
      <c r="B44" s="73">
        <v>2840</v>
      </c>
      <c r="C44" s="73">
        <v>2840</v>
      </c>
      <c r="D44" s="72">
        <v>2840</v>
      </c>
      <c r="E44" s="72">
        <v>2840</v>
      </c>
      <c r="F44" s="72">
        <v>2840</v>
      </c>
      <c r="G44" s="68">
        <f t="shared" si="21"/>
        <v>0</v>
      </c>
      <c r="H44" s="69">
        <f t="shared" si="22"/>
        <v>1</v>
      </c>
      <c r="I44" s="79" t="s">
        <v>83</v>
      </c>
      <c r="J44" s="73"/>
      <c r="K44" s="73"/>
      <c r="L44" s="72"/>
      <c r="M44" s="73">
        <f>50+900</f>
        <v>950</v>
      </c>
      <c r="N44" s="73">
        <f>50+900</f>
        <v>950</v>
      </c>
      <c r="O44" s="68">
        <f>N44-M44</f>
        <v>0</v>
      </c>
      <c r="P44" s="69">
        <f>N44/M44</f>
        <v>1</v>
      </c>
    </row>
    <row r="45" ht="18" customHeight="1" spans="1:16">
      <c r="A45" s="79" t="s">
        <v>84</v>
      </c>
      <c r="B45" s="73">
        <v>875</v>
      </c>
      <c r="C45" s="73">
        <v>875</v>
      </c>
      <c r="D45" s="72">
        <v>875</v>
      </c>
      <c r="E45" s="72">
        <v>875</v>
      </c>
      <c r="F45" s="72">
        <v>875</v>
      </c>
      <c r="G45" s="68">
        <f t="shared" si="21"/>
        <v>0</v>
      </c>
      <c r="H45" s="69">
        <f t="shared" si="22"/>
        <v>1</v>
      </c>
      <c r="I45" s="79" t="s">
        <v>85</v>
      </c>
      <c r="J45" s="73">
        <v>30000</v>
      </c>
      <c r="K45" s="73">
        <v>30000</v>
      </c>
      <c r="L45" s="72">
        <f>135000+71221</f>
        <v>206221</v>
      </c>
      <c r="M45" s="73">
        <v>0</v>
      </c>
      <c r="N45" s="73">
        <v>0</v>
      </c>
      <c r="O45" s="68">
        <f>N45-M45</f>
        <v>0</v>
      </c>
      <c r="P45" s="69"/>
    </row>
    <row r="46" ht="18" customHeight="1" spans="1:16">
      <c r="A46" s="79" t="s">
        <v>86</v>
      </c>
      <c r="B46" s="73">
        <v>100752</v>
      </c>
      <c r="C46" s="73">
        <v>100752</v>
      </c>
      <c r="D46" s="72">
        <v>100752</v>
      </c>
      <c r="E46" s="72">
        <v>100752</v>
      </c>
      <c r="F46" s="72">
        <v>100752</v>
      </c>
      <c r="G46" s="68">
        <f t="shared" si="21"/>
        <v>0</v>
      </c>
      <c r="H46" s="69">
        <f t="shared" si="22"/>
        <v>1</v>
      </c>
      <c r="I46" s="79" t="s">
        <v>87</v>
      </c>
      <c r="J46" s="73"/>
      <c r="K46" s="73"/>
      <c r="L46" s="73">
        <v>221137</v>
      </c>
      <c r="M46" s="73">
        <v>32683</v>
      </c>
      <c r="N46" s="73">
        <v>32683</v>
      </c>
      <c r="O46" s="68">
        <f>N46-M46</f>
        <v>0</v>
      </c>
      <c r="P46" s="69">
        <f>N46/M46</f>
        <v>1</v>
      </c>
    </row>
    <row r="47" ht="18" customHeight="1" spans="1:16">
      <c r="A47" s="79" t="s">
        <v>88</v>
      </c>
      <c r="B47" s="73">
        <f t="shared" ref="B47:F47" si="23">SUM(B48:B63)</f>
        <v>542073</v>
      </c>
      <c r="C47" s="73">
        <v>542073</v>
      </c>
      <c r="D47" s="72">
        <f t="shared" si="23"/>
        <v>754637</v>
      </c>
      <c r="E47" s="72">
        <f t="shared" si="23"/>
        <v>515685</v>
      </c>
      <c r="F47" s="72">
        <f t="shared" si="23"/>
        <v>515685</v>
      </c>
      <c r="G47" s="68">
        <f t="shared" si="21"/>
        <v>0</v>
      </c>
      <c r="H47" s="69">
        <f t="shared" si="22"/>
        <v>1</v>
      </c>
      <c r="I47" s="75"/>
      <c r="J47" s="73"/>
      <c r="K47" s="73"/>
      <c r="L47" s="73"/>
      <c r="M47" s="73"/>
      <c r="N47" s="73"/>
      <c r="O47" s="117"/>
      <c r="P47" s="110"/>
    </row>
    <row r="48" ht="18" customHeight="1" spans="1:16">
      <c r="A48" s="79" t="s">
        <v>89</v>
      </c>
      <c r="B48" s="73">
        <v>35005</v>
      </c>
      <c r="C48" s="73">
        <v>35005</v>
      </c>
      <c r="D48" s="72">
        <v>56894</v>
      </c>
      <c r="E48" s="72">
        <v>43699</v>
      </c>
      <c r="F48" s="72">
        <v>43699</v>
      </c>
      <c r="G48" s="68">
        <f t="shared" si="21"/>
        <v>0</v>
      </c>
      <c r="H48" s="69">
        <f t="shared" si="22"/>
        <v>1</v>
      </c>
      <c r="I48" s="75"/>
      <c r="J48" s="73"/>
      <c r="K48" s="73"/>
      <c r="L48" s="73"/>
      <c r="M48" s="73"/>
      <c r="N48" s="73"/>
      <c r="O48" s="117"/>
      <c r="P48" s="110"/>
    </row>
    <row r="49" ht="18" customHeight="1" spans="1:16">
      <c r="A49" s="79" t="s">
        <v>90</v>
      </c>
      <c r="B49" s="73">
        <v>9778</v>
      </c>
      <c r="C49" s="73">
        <v>9778</v>
      </c>
      <c r="D49" s="72">
        <v>19361</v>
      </c>
      <c r="E49" s="72">
        <v>8799</v>
      </c>
      <c r="F49" s="72">
        <v>8799</v>
      </c>
      <c r="G49" s="68">
        <f t="shared" si="21"/>
        <v>0</v>
      </c>
      <c r="H49" s="69">
        <f t="shared" si="22"/>
        <v>1</v>
      </c>
      <c r="I49" s="75"/>
      <c r="J49" s="73"/>
      <c r="K49" s="73"/>
      <c r="L49" s="73"/>
      <c r="M49" s="73"/>
      <c r="N49" s="73"/>
      <c r="O49" s="117"/>
      <c r="P49" s="110"/>
    </row>
    <row r="50" ht="18" customHeight="1" spans="1:16">
      <c r="A50" s="79" t="s">
        <v>91</v>
      </c>
      <c r="B50" s="73">
        <v>192419</v>
      </c>
      <c r="C50" s="73">
        <v>192419</v>
      </c>
      <c r="D50" s="72">
        <v>305406</v>
      </c>
      <c r="E50" s="72">
        <v>153302</v>
      </c>
      <c r="F50" s="72">
        <v>153302</v>
      </c>
      <c r="G50" s="68">
        <f t="shared" si="21"/>
        <v>0</v>
      </c>
      <c r="H50" s="69">
        <f t="shared" si="22"/>
        <v>1</v>
      </c>
      <c r="I50" s="75"/>
      <c r="J50" s="73"/>
      <c r="K50" s="73"/>
      <c r="L50" s="73"/>
      <c r="M50" s="73"/>
      <c r="N50" s="73"/>
      <c r="O50" s="117"/>
      <c r="P50" s="110"/>
    </row>
    <row r="51" ht="18" customHeight="1" spans="1:16">
      <c r="A51" s="79" t="s">
        <v>92</v>
      </c>
      <c r="B51" s="73"/>
      <c r="C51" s="73"/>
      <c r="D51" s="72"/>
      <c r="E51" s="72"/>
      <c r="F51" s="72"/>
      <c r="G51" s="117"/>
      <c r="H51" s="110"/>
      <c r="I51" s="75"/>
      <c r="J51" s="73"/>
      <c r="K51" s="73"/>
      <c r="L51" s="73"/>
      <c r="M51" s="73"/>
      <c r="N51" s="73"/>
      <c r="O51" s="117"/>
      <c r="P51" s="110"/>
    </row>
    <row r="52" ht="18" customHeight="1" spans="1:17">
      <c r="A52" s="79" t="s">
        <v>93</v>
      </c>
      <c r="B52" s="73">
        <v>2700</v>
      </c>
      <c r="C52" s="73">
        <v>2700</v>
      </c>
      <c r="D52" s="72">
        <v>3000</v>
      </c>
      <c r="E52" s="72">
        <v>2700</v>
      </c>
      <c r="F52" s="72">
        <v>2700</v>
      </c>
      <c r="G52" s="68">
        <f t="shared" ref="G52:G59" si="24">F52-E52</f>
        <v>0</v>
      </c>
      <c r="H52" s="69">
        <f t="shared" ref="H52:H59" si="25">F52/E52</f>
        <v>1</v>
      </c>
      <c r="I52" s="75"/>
      <c r="J52" s="73"/>
      <c r="K52" s="73"/>
      <c r="L52" s="73"/>
      <c r="M52" s="73"/>
      <c r="N52" s="73"/>
      <c r="O52" s="117"/>
      <c r="P52" s="110"/>
      <c r="Q52" s="45"/>
    </row>
    <row r="53" ht="18" customHeight="1" spans="1:16">
      <c r="A53" s="79" t="s">
        <v>94</v>
      </c>
      <c r="B53" s="73">
        <v>12696</v>
      </c>
      <c r="C53" s="73">
        <v>12696</v>
      </c>
      <c r="D53" s="72">
        <v>15159</v>
      </c>
      <c r="E53" s="72">
        <v>13622</v>
      </c>
      <c r="F53" s="72">
        <v>13622</v>
      </c>
      <c r="G53" s="68">
        <f t="shared" si="24"/>
        <v>0</v>
      </c>
      <c r="H53" s="69">
        <f t="shared" si="25"/>
        <v>1</v>
      </c>
      <c r="I53" s="75"/>
      <c r="J53" s="73"/>
      <c r="K53" s="73"/>
      <c r="L53" s="73"/>
      <c r="M53" s="73"/>
      <c r="N53" s="73"/>
      <c r="O53" s="117"/>
      <c r="P53" s="110"/>
    </row>
    <row r="54" ht="18" customHeight="1" spans="1:16">
      <c r="A54" s="79" t="s">
        <v>95</v>
      </c>
      <c r="B54" s="73">
        <v>144614</v>
      </c>
      <c r="C54" s="73">
        <v>144614</v>
      </c>
      <c r="D54" s="72">
        <v>144613</v>
      </c>
      <c r="E54" s="72">
        <v>144613</v>
      </c>
      <c r="F54" s="72">
        <v>144613</v>
      </c>
      <c r="G54" s="68">
        <f t="shared" si="24"/>
        <v>0</v>
      </c>
      <c r="H54" s="69">
        <f t="shared" si="25"/>
        <v>1</v>
      </c>
      <c r="I54" s="75"/>
      <c r="J54" s="73"/>
      <c r="K54" s="73"/>
      <c r="L54" s="73"/>
      <c r="M54" s="73"/>
      <c r="N54" s="73"/>
      <c r="O54" s="117"/>
      <c r="P54" s="110"/>
    </row>
    <row r="55" ht="18" customHeight="1" spans="1:16">
      <c r="A55" s="79" t="s">
        <v>96</v>
      </c>
      <c r="B55" s="73">
        <v>791</v>
      </c>
      <c r="C55" s="73">
        <v>791</v>
      </c>
      <c r="D55" s="72">
        <v>884</v>
      </c>
      <c r="E55" s="72">
        <v>717</v>
      </c>
      <c r="F55" s="72">
        <v>717</v>
      </c>
      <c r="G55" s="68">
        <f t="shared" si="24"/>
        <v>0</v>
      </c>
      <c r="H55" s="69">
        <f t="shared" si="25"/>
        <v>1</v>
      </c>
      <c r="I55" s="75"/>
      <c r="J55" s="73"/>
      <c r="K55" s="73"/>
      <c r="L55" s="73"/>
      <c r="M55" s="73"/>
      <c r="N55" s="73"/>
      <c r="O55" s="117"/>
      <c r="P55" s="110"/>
    </row>
    <row r="56" ht="18" customHeight="1" spans="1:16">
      <c r="A56" s="79" t="s">
        <v>97</v>
      </c>
      <c r="B56" s="73"/>
      <c r="C56" s="73"/>
      <c r="D56" s="72"/>
      <c r="E56" s="72"/>
      <c r="F56" s="72"/>
      <c r="G56" s="117"/>
      <c r="H56" s="110"/>
      <c r="I56" s="75"/>
      <c r="J56" s="73"/>
      <c r="K56" s="73"/>
      <c r="L56" s="73"/>
      <c r="M56" s="73"/>
      <c r="N56" s="73"/>
      <c r="O56" s="117"/>
      <c r="P56" s="110"/>
    </row>
    <row r="57" ht="18" customHeight="1" spans="1:16">
      <c r="A57" s="79" t="s">
        <v>98</v>
      </c>
      <c r="B57" s="73">
        <v>6236</v>
      </c>
      <c r="C57" s="73">
        <v>6236</v>
      </c>
      <c r="D57" s="72">
        <v>7035</v>
      </c>
      <c r="E57" s="72">
        <v>5640</v>
      </c>
      <c r="F57" s="72">
        <v>5640</v>
      </c>
      <c r="G57" s="68">
        <f t="shared" si="24"/>
        <v>0</v>
      </c>
      <c r="H57" s="69">
        <f t="shared" si="25"/>
        <v>1</v>
      </c>
      <c r="I57" s="75"/>
      <c r="J57" s="73"/>
      <c r="K57" s="73"/>
      <c r="L57" s="73"/>
      <c r="M57" s="73"/>
      <c r="N57" s="73"/>
      <c r="O57" s="117"/>
      <c r="P57" s="110"/>
    </row>
    <row r="58" ht="32" customHeight="1" spans="1:16">
      <c r="A58" s="79" t="s">
        <v>99</v>
      </c>
      <c r="B58" s="73">
        <v>9074</v>
      </c>
      <c r="C58" s="73">
        <v>9074</v>
      </c>
      <c r="D58" s="72">
        <v>10932</v>
      </c>
      <c r="E58" s="72">
        <v>7171</v>
      </c>
      <c r="F58" s="72">
        <v>7171</v>
      </c>
      <c r="G58" s="68">
        <f t="shared" si="24"/>
        <v>0</v>
      </c>
      <c r="H58" s="69">
        <f t="shared" si="25"/>
        <v>1</v>
      </c>
      <c r="I58" s="75"/>
      <c r="J58" s="73"/>
      <c r="K58" s="73"/>
      <c r="L58" s="73"/>
      <c r="M58" s="73"/>
      <c r="N58" s="73"/>
      <c r="O58" s="117"/>
      <c r="P58" s="110"/>
    </row>
    <row r="59" ht="18" customHeight="1" spans="1:16">
      <c r="A59" s="79" t="s">
        <v>100</v>
      </c>
      <c r="B59" s="73">
        <v>128760</v>
      </c>
      <c r="C59" s="73">
        <v>128760</v>
      </c>
      <c r="D59" s="72">
        <v>191353</v>
      </c>
      <c r="E59" s="72">
        <v>135422</v>
      </c>
      <c r="F59" s="72">
        <v>135422</v>
      </c>
      <c r="G59" s="68">
        <f t="shared" si="24"/>
        <v>0</v>
      </c>
      <c r="H59" s="69">
        <f t="shared" si="25"/>
        <v>1</v>
      </c>
      <c r="I59" s="75"/>
      <c r="J59" s="73"/>
      <c r="K59" s="73"/>
      <c r="L59" s="73"/>
      <c r="M59" s="73"/>
      <c r="N59" s="73"/>
      <c r="O59" s="117"/>
      <c r="P59" s="110"/>
    </row>
    <row r="60" ht="18" customHeight="1" spans="1:16">
      <c r="A60" s="79" t="s">
        <v>101</v>
      </c>
      <c r="B60" s="73"/>
      <c r="C60" s="73"/>
      <c r="D60" s="72"/>
      <c r="E60" s="72"/>
      <c r="F60" s="72"/>
      <c r="G60" s="117"/>
      <c r="H60" s="110"/>
      <c r="I60" s="75"/>
      <c r="J60" s="73"/>
      <c r="K60" s="73"/>
      <c r="L60" s="73"/>
      <c r="M60" s="73"/>
      <c r="N60" s="73"/>
      <c r="O60" s="117"/>
      <c r="P60" s="110"/>
    </row>
    <row r="61" ht="18" customHeight="1" spans="1:16">
      <c r="A61" s="79" t="s">
        <v>102</v>
      </c>
      <c r="B61" s="73"/>
      <c r="C61" s="73"/>
      <c r="D61" s="72"/>
      <c r="E61" s="72"/>
      <c r="F61" s="72"/>
      <c r="G61" s="117"/>
      <c r="H61" s="110"/>
      <c r="I61" s="75"/>
      <c r="J61" s="73"/>
      <c r="K61" s="73"/>
      <c r="L61" s="73"/>
      <c r="M61" s="73"/>
      <c r="N61" s="73"/>
      <c r="O61" s="117"/>
      <c r="P61" s="110"/>
    </row>
    <row r="62" ht="18" customHeight="1" spans="1:16">
      <c r="A62" s="79" t="s">
        <v>103</v>
      </c>
      <c r="B62" s="73"/>
      <c r="C62" s="73"/>
      <c r="D62" s="72"/>
      <c r="E62" s="72"/>
      <c r="F62" s="72"/>
      <c r="G62" s="117"/>
      <c r="H62" s="110"/>
      <c r="I62" s="75"/>
      <c r="J62" s="73"/>
      <c r="K62" s="73"/>
      <c r="L62" s="73"/>
      <c r="M62" s="73"/>
      <c r="N62" s="73"/>
      <c r="O62" s="117"/>
      <c r="P62" s="110"/>
    </row>
    <row r="63" ht="18" customHeight="1" spans="1:16">
      <c r="A63" s="79" t="s">
        <v>104</v>
      </c>
      <c r="B63" s="73"/>
      <c r="C63" s="73"/>
      <c r="D63" s="72"/>
      <c r="E63" s="72"/>
      <c r="F63" s="72"/>
      <c r="G63" s="117"/>
      <c r="H63" s="110"/>
      <c r="I63" s="75"/>
      <c r="J63" s="73"/>
      <c r="K63" s="73"/>
      <c r="L63" s="73"/>
      <c r="M63" s="73"/>
      <c r="N63" s="73"/>
      <c r="O63" s="117"/>
      <c r="P63" s="110"/>
    </row>
    <row r="64" ht="18" customHeight="1" spans="1:16">
      <c r="A64" s="79" t="s">
        <v>105</v>
      </c>
      <c r="B64" s="73">
        <v>121955</v>
      </c>
      <c r="C64" s="73">
        <v>121955</v>
      </c>
      <c r="D64" s="72">
        <v>237674</v>
      </c>
      <c r="E64" s="72">
        <v>38763</v>
      </c>
      <c r="F64" s="72">
        <v>38763</v>
      </c>
      <c r="G64" s="68">
        <f t="shared" ref="G64:G68" si="26">F64-E64</f>
        <v>0</v>
      </c>
      <c r="H64" s="69">
        <f t="shared" ref="H64:H68" si="27">F64/E64</f>
        <v>1</v>
      </c>
      <c r="I64" s="75"/>
      <c r="J64" s="73"/>
      <c r="K64" s="73"/>
      <c r="L64" s="73"/>
      <c r="M64" s="73"/>
      <c r="N64" s="73"/>
      <c r="O64" s="117"/>
      <c r="P64" s="110"/>
    </row>
    <row r="65" ht="18" customHeight="1" spans="1:16">
      <c r="A65" s="79" t="s">
        <v>106</v>
      </c>
      <c r="B65" s="73">
        <v>325310</v>
      </c>
      <c r="C65" s="73">
        <v>325310</v>
      </c>
      <c r="D65" s="73">
        <f>317281+14130</f>
        <v>331411</v>
      </c>
      <c r="E65" s="73">
        <v>221137</v>
      </c>
      <c r="F65" s="73">
        <v>221137</v>
      </c>
      <c r="G65" s="68">
        <f t="shared" si="26"/>
        <v>0</v>
      </c>
      <c r="H65" s="69">
        <f t="shared" si="27"/>
        <v>1</v>
      </c>
      <c r="I65" s="75"/>
      <c r="J65" s="73"/>
      <c r="K65" s="73"/>
      <c r="L65" s="73"/>
      <c r="M65" s="73"/>
      <c r="N65" s="73"/>
      <c r="O65" s="117"/>
      <c r="P65" s="110"/>
    </row>
    <row r="66" ht="18" customHeight="1" spans="1:16">
      <c r="A66" s="79" t="s">
        <v>107</v>
      </c>
      <c r="B66" s="73">
        <f>2197+65000</f>
        <v>67197</v>
      </c>
      <c r="C66" s="73">
        <v>67197</v>
      </c>
      <c r="D66" s="73">
        <f>100000+2603</f>
        <v>102603</v>
      </c>
      <c r="E66" s="72">
        <f>1658+871+45000+23</f>
        <v>47552</v>
      </c>
      <c r="F66" s="72">
        <f>1658+871+45000+23</f>
        <v>47552</v>
      </c>
      <c r="G66" s="68">
        <f t="shared" si="26"/>
        <v>0</v>
      </c>
      <c r="H66" s="69">
        <f t="shared" si="27"/>
        <v>1</v>
      </c>
      <c r="I66" s="75"/>
      <c r="J66" s="73"/>
      <c r="K66" s="73"/>
      <c r="L66" s="73"/>
      <c r="M66" s="73"/>
      <c r="N66" s="73"/>
      <c r="O66" s="117"/>
      <c r="P66" s="110"/>
    </row>
    <row r="67" ht="18" customHeight="1" spans="1:16">
      <c r="A67" s="79" t="s">
        <v>108</v>
      </c>
      <c r="B67" s="73">
        <f>36233+26283</f>
        <v>62516</v>
      </c>
      <c r="C67" s="73">
        <v>62516</v>
      </c>
      <c r="D67" s="73">
        <v>61995</v>
      </c>
      <c r="E67" s="72">
        <f>135000+71221</f>
        <v>206221</v>
      </c>
      <c r="F67" s="72">
        <f>135000+71221</f>
        <v>206221</v>
      </c>
      <c r="G67" s="68">
        <f t="shared" si="26"/>
        <v>0</v>
      </c>
      <c r="H67" s="69">
        <f t="shared" si="27"/>
        <v>1</v>
      </c>
      <c r="I67" s="75"/>
      <c r="J67" s="73"/>
      <c r="K67" s="73"/>
      <c r="L67" s="73"/>
      <c r="M67" s="73"/>
      <c r="N67" s="73"/>
      <c r="O67" s="117"/>
      <c r="P67" s="110"/>
    </row>
    <row r="68" s="45" customFormat="1" ht="18" customHeight="1" spans="1:17">
      <c r="A68" s="108" t="s">
        <v>109</v>
      </c>
      <c r="B68" s="64">
        <f t="shared" ref="B68:F68" si="28">B7+B34+B39</f>
        <v>3037353</v>
      </c>
      <c r="C68" s="64">
        <v>3083753</v>
      </c>
      <c r="D68" s="64">
        <f t="shared" si="28"/>
        <v>3386855</v>
      </c>
      <c r="E68" s="64">
        <f t="shared" si="28"/>
        <v>2938765</v>
      </c>
      <c r="F68" s="64">
        <f t="shared" si="28"/>
        <v>2951765</v>
      </c>
      <c r="G68" s="81">
        <f t="shared" si="26"/>
        <v>13000</v>
      </c>
      <c r="H68" s="65">
        <f t="shared" si="27"/>
        <v>1.00442362693172</v>
      </c>
      <c r="I68" s="108" t="s">
        <v>110</v>
      </c>
      <c r="J68" s="63">
        <f t="shared" ref="J68:N68" si="29">J7+J32+J34+J39</f>
        <v>3037353</v>
      </c>
      <c r="K68" s="63">
        <v>3083753</v>
      </c>
      <c r="L68" s="63">
        <f t="shared" si="29"/>
        <v>3386855</v>
      </c>
      <c r="M68" s="63">
        <f t="shared" si="29"/>
        <v>2938765</v>
      </c>
      <c r="N68" s="63">
        <f t="shared" si="29"/>
        <v>2951765</v>
      </c>
      <c r="O68" s="81">
        <f>N68-M68</f>
        <v>13000</v>
      </c>
      <c r="P68" s="65">
        <f>N68/M68</f>
        <v>1.00442362693172</v>
      </c>
      <c r="Q68" s="47"/>
    </row>
  </sheetData>
  <mergeCells count="20">
    <mergeCell ref="A2:P2"/>
    <mergeCell ref="O3:P3"/>
    <mergeCell ref="A4:H4"/>
    <mergeCell ref="I4:P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s>
  <printOptions horizontalCentered="1"/>
  <pageMargins left="0.550694444444444" right="0.550694444444444" top="0.511805555555556" bottom="0.590277777777778" header="0.393055555555556" footer="0.275"/>
  <pageSetup paperSize="8" scale="97" fitToHeight="0" orientation="landscape" useFirstPageNumber="1" horizontalDpi="600"/>
  <headerFooter>
    <oddFooter>&amp;C&amp;18— &amp;P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5"/>
  <sheetViews>
    <sheetView tabSelected="1" view="pageBreakPreview" zoomScale="70" zoomScaleNormal="100" zoomScaleSheetLayoutView="70" workbookViewId="0">
      <pane xSplit="1" ySplit="6" topLeftCell="B10" activePane="bottomRight" state="frozen"/>
      <selection/>
      <selection pane="topRight"/>
      <selection pane="bottomLeft"/>
      <selection pane="bottomRight" activeCell="A2" sqref="A2:P2"/>
    </sheetView>
  </sheetViews>
  <sheetFormatPr defaultColWidth="8" defaultRowHeight="13.5"/>
  <cols>
    <col min="1" max="1" width="45.625" style="46" customWidth="1"/>
    <col min="2" max="7" width="10.175" style="47" customWidth="1"/>
    <col min="8" max="8" width="7.625" style="47" customWidth="1"/>
    <col min="9" max="9" width="52.125" style="46" customWidth="1"/>
    <col min="10" max="14" width="10.175" style="47" customWidth="1"/>
    <col min="15" max="15" width="9.85" style="47" customWidth="1"/>
    <col min="16" max="16" width="7.625" style="49" customWidth="1"/>
    <col min="17" max="17" width="12.75" style="47" customWidth="1"/>
    <col min="18" max="18" width="11.6333333333333" style="47" customWidth="1"/>
    <col min="19" max="16384" width="8" style="47"/>
  </cols>
  <sheetData>
    <row r="1" ht="16" customHeight="1" spans="1:1">
      <c r="A1" s="51" t="s">
        <v>0</v>
      </c>
    </row>
    <row r="2" ht="26" customHeight="1" spans="1:16">
      <c r="A2" s="123" t="s">
        <v>111</v>
      </c>
      <c r="B2" s="124"/>
      <c r="C2" s="124"/>
      <c r="D2" s="124"/>
      <c r="E2" s="124"/>
      <c r="F2" s="124"/>
      <c r="G2" s="124"/>
      <c r="H2" s="124"/>
      <c r="I2" s="123"/>
      <c r="J2" s="124"/>
      <c r="K2" s="124"/>
      <c r="L2" s="124"/>
      <c r="M2" s="124"/>
      <c r="N2" s="124"/>
      <c r="O2" s="124"/>
      <c r="P2" s="127"/>
    </row>
    <row r="3" s="44" customFormat="1" ht="16" customHeight="1" spans="1:16">
      <c r="A3" s="55"/>
      <c r="I3" s="55"/>
      <c r="N3" s="47"/>
      <c r="O3" s="87" t="s">
        <v>2</v>
      </c>
      <c r="P3" s="89"/>
    </row>
    <row r="4" s="45" customFormat="1" ht="18" customHeight="1" spans="1:16">
      <c r="A4" s="57" t="s">
        <v>3</v>
      </c>
      <c r="B4" s="58"/>
      <c r="C4" s="58"/>
      <c r="D4" s="58"/>
      <c r="E4" s="58"/>
      <c r="F4" s="58"/>
      <c r="G4" s="58"/>
      <c r="H4" s="58"/>
      <c r="I4" s="57" t="s">
        <v>4</v>
      </c>
      <c r="J4" s="58"/>
      <c r="K4" s="58"/>
      <c r="L4" s="58"/>
      <c r="M4" s="58"/>
      <c r="N4" s="58"/>
      <c r="O4" s="58"/>
      <c r="P4" s="90"/>
    </row>
    <row r="5" s="45" customFormat="1" ht="27" customHeight="1" spans="1:16">
      <c r="A5" s="60" t="s">
        <v>5</v>
      </c>
      <c r="B5" s="57" t="s">
        <v>6</v>
      </c>
      <c r="C5" s="125" t="s">
        <v>7</v>
      </c>
      <c r="D5" s="57" t="s">
        <v>8</v>
      </c>
      <c r="E5" s="57" t="s">
        <v>9</v>
      </c>
      <c r="F5" s="57" t="s">
        <v>10</v>
      </c>
      <c r="G5" s="57" t="s">
        <v>11</v>
      </c>
      <c r="H5" s="57" t="s">
        <v>12</v>
      </c>
      <c r="I5" s="91" t="s">
        <v>13</v>
      </c>
      <c r="J5" s="57" t="s">
        <v>6</v>
      </c>
      <c r="K5" s="125" t="s">
        <v>7</v>
      </c>
      <c r="L5" s="57" t="s">
        <v>8</v>
      </c>
      <c r="M5" s="57" t="s">
        <v>9</v>
      </c>
      <c r="N5" s="57" t="s">
        <v>10</v>
      </c>
      <c r="O5" s="57" t="s">
        <v>11</v>
      </c>
      <c r="P5" s="57" t="s">
        <v>12</v>
      </c>
    </row>
    <row r="6" s="45" customFormat="1" ht="28" customHeight="1" spans="1:16">
      <c r="A6" s="60"/>
      <c r="B6" s="57"/>
      <c r="C6" s="126"/>
      <c r="D6" s="57"/>
      <c r="E6" s="57"/>
      <c r="F6" s="57"/>
      <c r="G6" s="57"/>
      <c r="H6" s="57"/>
      <c r="I6" s="91"/>
      <c r="J6" s="57"/>
      <c r="K6" s="126"/>
      <c r="L6" s="57"/>
      <c r="M6" s="57"/>
      <c r="N6" s="57"/>
      <c r="O6" s="57"/>
      <c r="P6" s="57"/>
    </row>
    <row r="7" s="45" customFormat="1" ht="19" customHeight="1" spans="1:16">
      <c r="A7" s="62" t="s">
        <v>112</v>
      </c>
      <c r="B7" s="64">
        <f t="shared" ref="B7:F7" si="0">SUM(B8:B21)</f>
        <v>1700000</v>
      </c>
      <c r="C7" s="64">
        <f t="shared" si="0"/>
        <v>1700000</v>
      </c>
      <c r="D7" s="64">
        <f t="shared" si="0"/>
        <v>1386900</v>
      </c>
      <c r="E7" s="64">
        <f t="shared" si="0"/>
        <v>1500000</v>
      </c>
      <c r="F7" s="64">
        <f t="shared" si="0"/>
        <v>1500800</v>
      </c>
      <c r="G7" s="64">
        <f t="shared" ref="G7:G12" si="1">F7-E7</f>
        <v>800</v>
      </c>
      <c r="H7" s="65">
        <f t="shared" ref="H7:H12" si="2">F7/E7</f>
        <v>1.00053333333333</v>
      </c>
      <c r="I7" s="62" t="s">
        <v>113</v>
      </c>
      <c r="J7" s="64">
        <f t="shared" ref="J7:L7" si="3">J8+J11+J24+J30+J39+J44+J51+J58+J35+J37</f>
        <v>2258241</v>
      </c>
      <c r="K7" s="64">
        <f t="shared" si="3"/>
        <v>2516941</v>
      </c>
      <c r="L7" s="64">
        <f t="shared" si="3"/>
        <v>2154268</v>
      </c>
      <c r="M7" s="64">
        <f>M8+M11+M24+M30+M39+M44+M51+M35+M37+M22</f>
        <v>1943825</v>
      </c>
      <c r="N7" s="64">
        <f>N8+N11+N24+N30+N39+N44+N51+N35+N37+N22</f>
        <v>2287625</v>
      </c>
      <c r="O7" s="64">
        <f t="shared" ref="O7:O12" si="4">N7-M7</f>
        <v>343800</v>
      </c>
      <c r="P7" s="65">
        <f t="shared" ref="P7:P12" si="5">N7/M7</f>
        <v>1.17686777359073</v>
      </c>
    </row>
    <row r="8" ht="19" customHeight="1" spans="1:16">
      <c r="A8" s="66" t="s">
        <v>114</v>
      </c>
      <c r="B8" s="67"/>
      <c r="C8" s="67"/>
      <c r="D8" s="67"/>
      <c r="E8" s="67"/>
      <c r="F8" s="67"/>
      <c r="G8" s="68"/>
      <c r="H8" s="69"/>
      <c r="I8" s="92" t="s">
        <v>115</v>
      </c>
      <c r="J8" s="73">
        <v>78</v>
      </c>
      <c r="K8" s="73">
        <v>78</v>
      </c>
      <c r="L8" s="73">
        <f>SUM(L9:L10)</f>
        <v>69</v>
      </c>
      <c r="M8" s="73">
        <f>M9+M10</f>
        <v>164</v>
      </c>
      <c r="N8" s="73">
        <f>N9+N10</f>
        <v>164</v>
      </c>
      <c r="O8" s="68">
        <f t="shared" si="4"/>
        <v>0</v>
      </c>
      <c r="P8" s="69"/>
    </row>
    <row r="9" ht="19" customHeight="1" spans="1:16">
      <c r="A9" s="70" t="s">
        <v>116</v>
      </c>
      <c r="B9" s="67"/>
      <c r="C9" s="67"/>
      <c r="D9" s="67"/>
      <c r="E9" s="67"/>
      <c r="F9" s="67"/>
      <c r="G9" s="68"/>
      <c r="H9" s="71"/>
      <c r="I9" s="92" t="s">
        <v>117</v>
      </c>
      <c r="J9" s="73"/>
      <c r="K9" s="73"/>
      <c r="L9" s="73"/>
      <c r="M9" s="73"/>
      <c r="N9" s="73"/>
      <c r="O9" s="68"/>
      <c r="P9" s="71"/>
    </row>
    <row r="10" ht="19" customHeight="1" spans="1:16">
      <c r="A10" s="66" t="s">
        <v>118</v>
      </c>
      <c r="B10" s="73">
        <v>63254</v>
      </c>
      <c r="C10" s="73">
        <v>63254</v>
      </c>
      <c r="D10" s="72">
        <v>57180</v>
      </c>
      <c r="E10" s="72">
        <f>1700000-1636164-10000</f>
        <v>53836</v>
      </c>
      <c r="F10" s="72">
        <f>1700000-1636164-10000</f>
        <v>53836</v>
      </c>
      <c r="G10" s="68">
        <f t="shared" si="1"/>
        <v>0</v>
      </c>
      <c r="H10" s="69">
        <f t="shared" si="2"/>
        <v>1</v>
      </c>
      <c r="I10" s="94" t="s">
        <v>119</v>
      </c>
      <c r="J10" s="73">
        <v>78</v>
      </c>
      <c r="K10" s="73">
        <v>78</v>
      </c>
      <c r="L10" s="73">
        <v>69</v>
      </c>
      <c r="M10" s="73">
        <v>164</v>
      </c>
      <c r="N10" s="73">
        <v>164</v>
      </c>
      <c r="O10" s="68">
        <f t="shared" si="4"/>
        <v>0</v>
      </c>
      <c r="P10" s="69">
        <f>N10/M10</f>
        <v>1</v>
      </c>
    </row>
    <row r="11" ht="19" customHeight="1" spans="1:16">
      <c r="A11" s="66" t="s">
        <v>120</v>
      </c>
      <c r="B11" s="73">
        <v>977</v>
      </c>
      <c r="C11" s="73">
        <v>977</v>
      </c>
      <c r="D11" s="72">
        <v>1736</v>
      </c>
      <c r="E11" s="72">
        <v>1300</v>
      </c>
      <c r="F11" s="72">
        <v>1300</v>
      </c>
      <c r="G11" s="68">
        <f t="shared" si="1"/>
        <v>0</v>
      </c>
      <c r="H11" s="69">
        <f t="shared" si="2"/>
        <v>1</v>
      </c>
      <c r="I11" s="92" t="s">
        <v>121</v>
      </c>
      <c r="J11" s="73">
        <v>1541125</v>
      </c>
      <c r="K11" s="73">
        <v>1541125</v>
      </c>
      <c r="L11" s="73">
        <f t="shared" ref="L11:N11" si="6">SUM(L12:L21)</f>
        <v>1160191</v>
      </c>
      <c r="M11" s="73">
        <f t="shared" si="6"/>
        <v>1321890</v>
      </c>
      <c r="N11" s="73">
        <f t="shared" si="6"/>
        <v>1321890</v>
      </c>
      <c r="O11" s="68">
        <f t="shared" si="4"/>
        <v>0</v>
      </c>
      <c r="P11" s="69">
        <f t="shared" si="5"/>
        <v>1</v>
      </c>
    </row>
    <row r="12" ht="19" customHeight="1" spans="1:16">
      <c r="A12" s="66" t="s">
        <v>122</v>
      </c>
      <c r="B12" s="73">
        <f>1559023+6540+1746</f>
        <v>1567309</v>
      </c>
      <c r="C12" s="73">
        <f>1559023+6540+1746</f>
        <v>1567309</v>
      </c>
      <c r="D12" s="72">
        <f>1278649+1</f>
        <v>1278650</v>
      </c>
      <c r="E12" s="72">
        <f>1589394-190000</f>
        <v>1399394</v>
      </c>
      <c r="F12" s="72">
        <f>1589394-190000</f>
        <v>1399394</v>
      </c>
      <c r="G12" s="68">
        <f t="shared" si="1"/>
        <v>0</v>
      </c>
      <c r="H12" s="69">
        <f t="shared" si="2"/>
        <v>1</v>
      </c>
      <c r="I12" s="92" t="s">
        <v>123</v>
      </c>
      <c r="J12" s="73">
        <v>1356166</v>
      </c>
      <c r="K12" s="73">
        <v>1356166</v>
      </c>
      <c r="L12" s="73">
        <f>1046558-3</f>
        <v>1046555</v>
      </c>
      <c r="M12" s="73">
        <f>669812-42756+183000+28000+50000+2000+278148+142353+220000-2921-130032+30000-370-16141-200000-43660+35000+20000+16213-43000+5933-7000-12423+221+77+40000</f>
        <v>1222454</v>
      </c>
      <c r="N12" s="73">
        <f>669812-42756+183000+28000+50000+2000+278148+142353+220000-2921-130032+30000-370-16141-200000-43660+35000+20000+16213-43000+5933-7000-12423+221+77+40000</f>
        <v>1222454</v>
      </c>
      <c r="O12" s="68">
        <f t="shared" si="4"/>
        <v>0</v>
      </c>
      <c r="P12" s="69">
        <f t="shared" si="5"/>
        <v>1</v>
      </c>
    </row>
    <row r="13" ht="19" customHeight="1" spans="1:16">
      <c r="A13" s="66" t="s">
        <v>124</v>
      </c>
      <c r="B13" s="73"/>
      <c r="C13" s="73"/>
      <c r="D13" s="72"/>
      <c r="E13" s="73"/>
      <c r="F13" s="73"/>
      <c r="G13" s="68"/>
      <c r="H13" s="71"/>
      <c r="I13" s="92" t="s">
        <v>125</v>
      </c>
      <c r="J13" s="73">
        <v>64145</v>
      </c>
      <c r="K13" s="73">
        <v>64145</v>
      </c>
      <c r="L13" s="73">
        <v>13579</v>
      </c>
      <c r="M13" s="72">
        <v>53836</v>
      </c>
      <c r="N13" s="72">
        <v>53836</v>
      </c>
      <c r="O13" s="68"/>
      <c r="P13" s="71"/>
    </row>
    <row r="14" ht="19" customHeight="1" spans="1:16">
      <c r="A14" s="66" t="s">
        <v>126</v>
      </c>
      <c r="B14" s="73">
        <v>1400</v>
      </c>
      <c r="C14" s="73">
        <v>1400</v>
      </c>
      <c r="D14" s="72">
        <f>1384+2086</f>
        <v>3470</v>
      </c>
      <c r="E14" s="73">
        <v>3400</v>
      </c>
      <c r="F14" s="73">
        <v>3400</v>
      </c>
      <c r="G14" s="68">
        <f t="shared" ref="G14:G19" si="7">F14-E14</f>
        <v>0</v>
      </c>
      <c r="H14" s="69">
        <f t="shared" ref="H14:H19" si="8">F14/E14</f>
        <v>1</v>
      </c>
      <c r="I14" s="92" t="s">
        <v>127</v>
      </c>
      <c r="J14" s="73">
        <v>977</v>
      </c>
      <c r="K14" s="73">
        <v>977</v>
      </c>
      <c r="L14" s="73">
        <v>168</v>
      </c>
      <c r="M14" s="72">
        <v>1300</v>
      </c>
      <c r="N14" s="72">
        <v>1300</v>
      </c>
      <c r="O14" s="68">
        <f t="shared" ref="O14:O19" si="9">N14-M14</f>
        <v>0</v>
      </c>
      <c r="P14" s="69">
        <f>N14/M14</f>
        <v>1</v>
      </c>
    </row>
    <row r="15" ht="19" customHeight="1" spans="1:16">
      <c r="A15" s="70" t="s">
        <v>128</v>
      </c>
      <c r="B15" s="73">
        <v>50000</v>
      </c>
      <c r="C15" s="73">
        <v>50000</v>
      </c>
      <c r="D15" s="72">
        <v>27298</v>
      </c>
      <c r="E15" s="73">
        <v>25000</v>
      </c>
      <c r="F15" s="73">
        <v>25000</v>
      </c>
      <c r="G15" s="68">
        <f t="shared" si="7"/>
        <v>0</v>
      </c>
      <c r="H15" s="69">
        <f t="shared" si="8"/>
        <v>1</v>
      </c>
      <c r="I15" s="92" t="s">
        <v>129</v>
      </c>
      <c r="J15" s="73">
        <v>51634</v>
      </c>
      <c r="K15" s="73">
        <v>51634</v>
      </c>
      <c r="L15" s="73">
        <v>26457</v>
      </c>
      <c r="M15" s="73">
        <v>25000</v>
      </c>
      <c r="N15" s="73">
        <v>25000</v>
      </c>
      <c r="O15" s="68">
        <f t="shared" si="9"/>
        <v>0</v>
      </c>
      <c r="P15" s="69">
        <f>N15/M15</f>
        <v>1</v>
      </c>
    </row>
    <row r="16" ht="19" customHeight="1" spans="1:16">
      <c r="A16" s="66" t="s">
        <v>130</v>
      </c>
      <c r="B16" s="73"/>
      <c r="C16" s="73"/>
      <c r="D16" s="72"/>
      <c r="E16" s="73"/>
      <c r="F16" s="73"/>
      <c r="G16" s="68"/>
      <c r="H16" s="71"/>
      <c r="I16" s="92" t="s">
        <v>131</v>
      </c>
      <c r="J16" s="73">
        <v>17000</v>
      </c>
      <c r="K16" s="73">
        <v>17000</v>
      </c>
      <c r="L16" s="73">
        <v>17000</v>
      </c>
      <c r="M16" s="73">
        <v>17000</v>
      </c>
      <c r="N16" s="73">
        <v>17000</v>
      </c>
      <c r="O16" s="68">
        <f t="shared" si="9"/>
        <v>0</v>
      </c>
      <c r="P16" s="71"/>
    </row>
    <row r="17" ht="19" customHeight="1" spans="1:16">
      <c r="A17" s="66" t="s">
        <v>132</v>
      </c>
      <c r="B17" s="73"/>
      <c r="C17" s="73"/>
      <c r="D17" s="72"/>
      <c r="E17" s="73"/>
      <c r="F17" s="73"/>
      <c r="G17" s="68"/>
      <c r="H17" s="71"/>
      <c r="I17" s="92" t="s">
        <v>133</v>
      </c>
      <c r="J17" s="73"/>
      <c r="K17" s="73"/>
      <c r="L17" s="73"/>
      <c r="M17" s="73"/>
      <c r="N17" s="73"/>
      <c r="O17" s="68"/>
      <c r="P17" s="71"/>
    </row>
    <row r="18" ht="19" customHeight="1" spans="1:16">
      <c r="A18" s="70" t="s">
        <v>134</v>
      </c>
      <c r="B18" s="73">
        <v>17000</v>
      </c>
      <c r="C18" s="73">
        <v>17000</v>
      </c>
      <c r="D18" s="72">
        <v>18233</v>
      </c>
      <c r="E18" s="73">
        <v>17000</v>
      </c>
      <c r="F18" s="73">
        <v>17000</v>
      </c>
      <c r="G18" s="68">
        <f t="shared" si="7"/>
        <v>0</v>
      </c>
      <c r="H18" s="69">
        <f t="shared" si="8"/>
        <v>1</v>
      </c>
      <c r="I18" s="92" t="s">
        <v>135</v>
      </c>
      <c r="J18" s="73">
        <v>6300</v>
      </c>
      <c r="K18" s="73">
        <v>6300</v>
      </c>
      <c r="L18" s="73">
        <v>6289</v>
      </c>
      <c r="M18" s="73"/>
      <c r="N18" s="73"/>
      <c r="O18" s="68">
        <f t="shared" si="9"/>
        <v>0</v>
      </c>
      <c r="P18" s="69"/>
    </row>
    <row r="19" ht="19" customHeight="1" spans="1:16">
      <c r="A19" s="70" t="s">
        <v>136</v>
      </c>
      <c r="B19" s="73">
        <v>60</v>
      </c>
      <c r="C19" s="73">
        <v>60</v>
      </c>
      <c r="D19" s="72">
        <v>76</v>
      </c>
      <c r="E19" s="73">
        <v>70</v>
      </c>
      <c r="F19" s="73">
        <v>70</v>
      </c>
      <c r="G19" s="68">
        <f t="shared" si="7"/>
        <v>0</v>
      </c>
      <c r="H19" s="69">
        <f t="shared" si="8"/>
        <v>1</v>
      </c>
      <c r="I19" s="92" t="s">
        <v>137</v>
      </c>
      <c r="J19" s="73"/>
      <c r="K19" s="73"/>
      <c r="L19" s="73"/>
      <c r="M19" s="67"/>
      <c r="N19" s="67"/>
      <c r="O19" s="68">
        <f t="shared" si="9"/>
        <v>0</v>
      </c>
      <c r="P19" s="69"/>
    </row>
    <row r="20" ht="28" customHeight="1" spans="1:16">
      <c r="A20" s="70" t="s">
        <v>138</v>
      </c>
      <c r="B20" s="73"/>
      <c r="C20" s="73"/>
      <c r="D20" s="73"/>
      <c r="E20" s="73"/>
      <c r="F20" s="73"/>
      <c r="G20" s="68"/>
      <c r="H20" s="71"/>
      <c r="I20" s="92" t="s">
        <v>139</v>
      </c>
      <c r="J20" s="73"/>
      <c r="K20" s="73"/>
      <c r="L20" s="73"/>
      <c r="M20" s="67"/>
      <c r="N20" s="67"/>
      <c r="O20" s="73"/>
      <c r="P20" s="71"/>
    </row>
    <row r="21" ht="19" customHeight="1" spans="1:16">
      <c r="A21" s="70" t="s">
        <v>140</v>
      </c>
      <c r="B21" s="73"/>
      <c r="C21" s="73"/>
      <c r="D21" s="73">
        <f>D22</f>
        <v>257</v>
      </c>
      <c r="E21" s="73"/>
      <c r="F21" s="73">
        <f>F22</f>
        <v>800</v>
      </c>
      <c r="G21" s="73">
        <f>G22</f>
        <v>800</v>
      </c>
      <c r="H21" s="71"/>
      <c r="I21" s="92" t="s">
        <v>141</v>
      </c>
      <c r="J21" s="73">
        <v>44903</v>
      </c>
      <c r="K21" s="73">
        <v>44903</v>
      </c>
      <c r="L21" s="73">
        <f>50225-82</f>
        <v>50143</v>
      </c>
      <c r="M21" s="72">
        <v>2300</v>
      </c>
      <c r="N21" s="72">
        <v>2300</v>
      </c>
      <c r="O21" s="68">
        <f t="shared" ref="O21:O29" si="10">N21-M21</f>
        <v>0</v>
      </c>
      <c r="P21" s="69">
        <f t="shared" ref="P21:P24" si="11">N21/M21</f>
        <v>1</v>
      </c>
    </row>
    <row r="22" ht="32" customHeight="1" spans="1:16">
      <c r="A22" s="70" t="s">
        <v>142</v>
      </c>
      <c r="B22" s="73"/>
      <c r="C22" s="73"/>
      <c r="D22" s="73">
        <v>257</v>
      </c>
      <c r="E22" s="73"/>
      <c r="F22" s="73">
        <v>800</v>
      </c>
      <c r="G22" s="68">
        <f>F22-E22</f>
        <v>800</v>
      </c>
      <c r="H22" s="71"/>
      <c r="I22" s="92" t="s">
        <v>143</v>
      </c>
      <c r="J22" s="76"/>
      <c r="K22" s="76"/>
      <c r="L22" s="72"/>
      <c r="M22" s="72">
        <f>M23</f>
        <v>670</v>
      </c>
      <c r="N22" s="72">
        <f>N23</f>
        <v>670</v>
      </c>
      <c r="O22" s="68">
        <f t="shared" si="10"/>
        <v>0</v>
      </c>
      <c r="P22" s="69">
        <f t="shared" si="11"/>
        <v>1</v>
      </c>
    </row>
    <row r="23" ht="19" customHeight="1" spans="1:16">
      <c r="A23" s="70"/>
      <c r="B23" s="73"/>
      <c r="C23" s="73"/>
      <c r="D23" s="73"/>
      <c r="E23" s="73"/>
      <c r="F23" s="73"/>
      <c r="G23" s="68"/>
      <c r="H23" s="71"/>
      <c r="I23" s="92" t="s">
        <v>141</v>
      </c>
      <c r="J23" s="76"/>
      <c r="K23" s="76"/>
      <c r="L23" s="72"/>
      <c r="M23" s="72">
        <v>670</v>
      </c>
      <c r="N23" s="72">
        <v>670</v>
      </c>
      <c r="O23" s="68">
        <f t="shared" si="10"/>
        <v>0</v>
      </c>
      <c r="P23" s="69">
        <f t="shared" si="11"/>
        <v>1</v>
      </c>
    </row>
    <row r="24" ht="19" customHeight="1" spans="1:16">
      <c r="A24" s="75"/>
      <c r="B24" s="76"/>
      <c r="C24" s="76"/>
      <c r="D24" s="76"/>
      <c r="E24" s="76"/>
      <c r="F24" s="76"/>
      <c r="G24" s="73"/>
      <c r="H24" s="76"/>
      <c r="I24" s="92" t="s">
        <v>144</v>
      </c>
      <c r="J24" s="73">
        <v>729</v>
      </c>
      <c r="K24" s="73">
        <v>729</v>
      </c>
      <c r="L24" s="73">
        <f t="shared" ref="L24:N24" si="12">SUM(L25:L29)</f>
        <v>204</v>
      </c>
      <c r="M24" s="73">
        <f t="shared" si="12"/>
        <v>110</v>
      </c>
      <c r="N24" s="73">
        <f t="shared" si="12"/>
        <v>110</v>
      </c>
      <c r="O24" s="68">
        <f t="shared" si="10"/>
        <v>0</v>
      </c>
      <c r="P24" s="69">
        <f t="shared" si="11"/>
        <v>1</v>
      </c>
    </row>
    <row r="25" ht="19" customHeight="1" spans="1:16">
      <c r="A25" s="75"/>
      <c r="B25" s="76"/>
      <c r="C25" s="76"/>
      <c r="D25" s="76"/>
      <c r="E25" s="76"/>
      <c r="F25" s="76"/>
      <c r="G25" s="73"/>
      <c r="H25" s="76"/>
      <c r="I25" s="92" t="s">
        <v>145</v>
      </c>
      <c r="J25" s="73"/>
      <c r="K25" s="73"/>
      <c r="L25" s="73"/>
      <c r="M25" s="67"/>
      <c r="N25" s="67"/>
      <c r="O25" s="68"/>
      <c r="P25" s="71"/>
    </row>
    <row r="26" ht="19" customHeight="1" spans="1:16">
      <c r="A26" s="75"/>
      <c r="B26" s="73"/>
      <c r="C26" s="73"/>
      <c r="D26" s="73"/>
      <c r="E26" s="73"/>
      <c r="F26" s="73"/>
      <c r="G26" s="68"/>
      <c r="H26" s="71"/>
      <c r="I26" s="92" t="s">
        <v>146</v>
      </c>
      <c r="J26" s="73"/>
      <c r="K26" s="73"/>
      <c r="L26" s="73"/>
      <c r="M26" s="67"/>
      <c r="N26" s="67"/>
      <c r="O26" s="68"/>
      <c r="P26" s="71"/>
    </row>
    <row r="27" ht="19" customHeight="1" spans="1:16">
      <c r="A27" s="75"/>
      <c r="B27" s="73"/>
      <c r="C27" s="73"/>
      <c r="D27" s="73"/>
      <c r="E27" s="73"/>
      <c r="F27" s="73"/>
      <c r="G27" s="68"/>
      <c r="H27" s="71"/>
      <c r="I27" s="92" t="s">
        <v>147</v>
      </c>
      <c r="J27" s="73">
        <v>729</v>
      </c>
      <c r="K27" s="73">
        <v>729</v>
      </c>
      <c r="L27" s="73">
        <v>204</v>
      </c>
      <c r="M27" s="72">
        <v>110</v>
      </c>
      <c r="N27" s="72">
        <v>110</v>
      </c>
      <c r="O27" s="68">
        <f t="shared" si="10"/>
        <v>0</v>
      </c>
      <c r="P27" s="69">
        <f>N27/M27</f>
        <v>1</v>
      </c>
    </row>
    <row r="28" ht="19" customHeight="1" spans="1:16">
      <c r="A28" s="75"/>
      <c r="B28" s="73"/>
      <c r="C28" s="73"/>
      <c r="D28" s="73"/>
      <c r="E28" s="73"/>
      <c r="F28" s="73"/>
      <c r="G28" s="68"/>
      <c r="H28" s="71"/>
      <c r="I28" s="92" t="s">
        <v>148</v>
      </c>
      <c r="J28" s="73"/>
      <c r="K28" s="73"/>
      <c r="L28" s="73"/>
      <c r="M28" s="67"/>
      <c r="N28" s="67"/>
      <c r="O28" s="68"/>
      <c r="P28" s="71"/>
    </row>
    <row r="29" ht="19" customHeight="1" spans="1:16">
      <c r="A29" s="75"/>
      <c r="B29" s="73"/>
      <c r="C29" s="73"/>
      <c r="D29" s="73"/>
      <c r="E29" s="73"/>
      <c r="F29" s="73"/>
      <c r="G29" s="68"/>
      <c r="H29" s="71"/>
      <c r="I29" s="92" t="s">
        <v>149</v>
      </c>
      <c r="J29" s="73"/>
      <c r="K29" s="73"/>
      <c r="L29" s="73"/>
      <c r="M29" s="67"/>
      <c r="N29" s="67"/>
      <c r="O29" s="68"/>
      <c r="P29" s="71"/>
    </row>
    <row r="30" ht="19" customHeight="1" spans="1:16">
      <c r="A30" s="75"/>
      <c r="B30" s="73"/>
      <c r="C30" s="73"/>
      <c r="D30" s="73"/>
      <c r="E30" s="73"/>
      <c r="F30" s="73"/>
      <c r="G30" s="68"/>
      <c r="H30" s="71"/>
      <c r="I30" s="92" t="s">
        <v>150</v>
      </c>
      <c r="J30" s="73"/>
      <c r="K30" s="73"/>
      <c r="L30" s="73">
        <f>SUM(L31:L34)</f>
        <v>190</v>
      </c>
      <c r="M30" s="67"/>
      <c r="N30" s="67"/>
      <c r="O30" s="73"/>
      <c r="P30" s="71"/>
    </row>
    <row r="31" ht="19" customHeight="1" spans="1:16">
      <c r="A31" s="75"/>
      <c r="B31" s="73"/>
      <c r="C31" s="73"/>
      <c r="D31" s="73"/>
      <c r="E31" s="73"/>
      <c r="F31" s="73"/>
      <c r="G31" s="68"/>
      <c r="H31" s="71"/>
      <c r="I31" s="92" t="s">
        <v>151</v>
      </c>
      <c r="J31" s="73"/>
      <c r="K31" s="73"/>
      <c r="L31" s="73"/>
      <c r="M31" s="67"/>
      <c r="N31" s="67"/>
      <c r="O31" s="73"/>
      <c r="P31" s="71"/>
    </row>
    <row r="32" ht="19" customHeight="1" spans="1:16">
      <c r="A32" s="75"/>
      <c r="B32" s="73"/>
      <c r="C32" s="73"/>
      <c r="D32" s="73"/>
      <c r="E32" s="73"/>
      <c r="F32" s="73"/>
      <c r="G32" s="68"/>
      <c r="H32" s="71"/>
      <c r="I32" s="92" t="s">
        <v>152</v>
      </c>
      <c r="J32" s="73"/>
      <c r="K32" s="73"/>
      <c r="L32" s="73"/>
      <c r="M32" s="67"/>
      <c r="N32" s="67"/>
      <c r="O32" s="73"/>
      <c r="P32" s="71"/>
    </row>
    <row r="33" ht="28" customHeight="1" spans="1:16">
      <c r="A33" s="75"/>
      <c r="B33" s="73"/>
      <c r="C33" s="73"/>
      <c r="D33" s="73"/>
      <c r="E33" s="73"/>
      <c r="F33" s="73"/>
      <c r="G33" s="68"/>
      <c r="H33" s="71"/>
      <c r="I33" s="92" t="s">
        <v>153</v>
      </c>
      <c r="J33" s="73"/>
      <c r="K33" s="73"/>
      <c r="L33" s="73"/>
      <c r="M33" s="67"/>
      <c r="N33" s="67"/>
      <c r="O33" s="73"/>
      <c r="P33" s="71"/>
    </row>
    <row r="34" ht="19" customHeight="1" spans="1:16">
      <c r="A34" s="75"/>
      <c r="B34" s="73"/>
      <c r="C34" s="73"/>
      <c r="D34" s="73"/>
      <c r="E34" s="73"/>
      <c r="F34" s="73"/>
      <c r="G34" s="68"/>
      <c r="H34" s="71"/>
      <c r="I34" s="92" t="s">
        <v>141</v>
      </c>
      <c r="J34" s="73"/>
      <c r="K34" s="73"/>
      <c r="L34" s="73">
        <v>190</v>
      </c>
      <c r="M34" s="67"/>
      <c r="N34" s="67"/>
      <c r="O34" s="73"/>
      <c r="P34" s="71"/>
    </row>
    <row r="35" ht="19" customHeight="1" spans="1:16">
      <c r="A35" s="75"/>
      <c r="B35" s="73"/>
      <c r="C35" s="73"/>
      <c r="D35" s="73"/>
      <c r="E35" s="73"/>
      <c r="F35" s="73"/>
      <c r="G35" s="68"/>
      <c r="H35" s="71"/>
      <c r="I35" s="92" t="s">
        <v>154</v>
      </c>
      <c r="J35" s="73"/>
      <c r="K35" s="73"/>
      <c r="L35" s="73">
        <f>SUM(L36)</f>
        <v>372</v>
      </c>
      <c r="M35" s="67"/>
      <c r="N35" s="67"/>
      <c r="O35" s="73"/>
      <c r="P35" s="71"/>
    </row>
    <row r="36" ht="19" customHeight="1" spans="1:16">
      <c r="A36" s="75"/>
      <c r="B36" s="73"/>
      <c r="C36" s="73"/>
      <c r="D36" s="73"/>
      <c r="E36" s="73"/>
      <c r="F36" s="73"/>
      <c r="G36" s="68"/>
      <c r="H36" s="71"/>
      <c r="I36" s="92" t="s">
        <v>141</v>
      </c>
      <c r="J36" s="73"/>
      <c r="K36" s="73"/>
      <c r="L36" s="73">
        <v>372</v>
      </c>
      <c r="M36" s="67"/>
      <c r="N36" s="67"/>
      <c r="O36" s="73"/>
      <c r="P36" s="71"/>
    </row>
    <row r="37" ht="19" customHeight="1" spans="1:16">
      <c r="A37" s="75"/>
      <c r="B37" s="73"/>
      <c r="C37" s="73"/>
      <c r="D37" s="73"/>
      <c r="E37" s="73"/>
      <c r="F37" s="73"/>
      <c r="G37" s="68"/>
      <c r="H37" s="71"/>
      <c r="I37" s="92" t="s">
        <v>155</v>
      </c>
      <c r="J37" s="73">
        <v>1276</v>
      </c>
      <c r="K37" s="73">
        <v>1276</v>
      </c>
      <c r="L37" s="73">
        <f>SUM(L38)</f>
        <v>3824</v>
      </c>
      <c r="M37" s="73">
        <f>M38</f>
        <v>1188</v>
      </c>
      <c r="N37" s="73">
        <f>N38</f>
        <v>1188</v>
      </c>
      <c r="O37" s="68">
        <f>N37-M37</f>
        <v>0</v>
      </c>
      <c r="P37" s="69">
        <f>N37/M37</f>
        <v>1</v>
      </c>
    </row>
    <row r="38" ht="19" customHeight="1" spans="1:16">
      <c r="A38" s="75"/>
      <c r="B38" s="73"/>
      <c r="C38" s="73"/>
      <c r="D38" s="73"/>
      <c r="E38" s="73"/>
      <c r="F38" s="73"/>
      <c r="G38" s="68"/>
      <c r="H38" s="71"/>
      <c r="I38" s="92" t="s">
        <v>141</v>
      </c>
      <c r="J38" s="73">
        <v>1276</v>
      </c>
      <c r="K38" s="73">
        <v>1276</v>
      </c>
      <c r="L38" s="73">
        <f>3825-1</f>
        <v>3824</v>
      </c>
      <c r="M38" s="73">
        <f>311+877</f>
        <v>1188</v>
      </c>
      <c r="N38" s="73">
        <f>311+877</f>
        <v>1188</v>
      </c>
      <c r="O38" s="68">
        <f t="shared" ref="O38:O44" si="13">N38-M38</f>
        <v>0</v>
      </c>
      <c r="P38" s="69">
        <f t="shared" ref="P38:P44" si="14">N38/M38</f>
        <v>1</v>
      </c>
    </row>
    <row r="39" ht="19" customHeight="1" spans="1:16">
      <c r="A39" s="75"/>
      <c r="B39" s="73"/>
      <c r="C39" s="73"/>
      <c r="D39" s="73"/>
      <c r="E39" s="73"/>
      <c r="F39" s="73"/>
      <c r="G39" s="68"/>
      <c r="H39" s="71"/>
      <c r="I39" s="84" t="s">
        <v>156</v>
      </c>
      <c r="J39" s="73">
        <v>538591</v>
      </c>
      <c r="K39" s="73">
        <f t="shared" ref="K39:N39" si="15">SUM(K40:K43)</f>
        <v>797291</v>
      </c>
      <c r="L39" s="73">
        <f t="shared" si="15"/>
        <v>814260</v>
      </c>
      <c r="M39" s="73">
        <f t="shared" si="15"/>
        <v>428382</v>
      </c>
      <c r="N39" s="73">
        <f t="shared" si="15"/>
        <v>771382</v>
      </c>
      <c r="O39" s="68">
        <f t="shared" si="13"/>
        <v>343000</v>
      </c>
      <c r="P39" s="69">
        <f t="shared" si="14"/>
        <v>1.80068723709213</v>
      </c>
    </row>
    <row r="40" ht="19" customHeight="1" spans="1:16">
      <c r="A40" s="75"/>
      <c r="B40" s="73"/>
      <c r="C40" s="73"/>
      <c r="D40" s="73"/>
      <c r="E40" s="73"/>
      <c r="F40" s="73"/>
      <c r="G40" s="68"/>
      <c r="H40" s="71"/>
      <c r="I40" s="92" t="s">
        <v>157</v>
      </c>
      <c r="J40" s="73">
        <v>533476</v>
      </c>
      <c r="K40" s="73">
        <f>73976+59500+400000+228700+30000</f>
        <v>792176</v>
      </c>
      <c r="L40" s="73">
        <v>792244</v>
      </c>
      <c r="M40" s="73">
        <f>167+419000</f>
        <v>419167</v>
      </c>
      <c r="N40" s="73">
        <f>167+419000+343000</f>
        <v>762167</v>
      </c>
      <c r="O40" s="68">
        <f t="shared" si="13"/>
        <v>343000</v>
      </c>
      <c r="P40" s="69">
        <f t="shared" si="14"/>
        <v>1.81828960772198</v>
      </c>
    </row>
    <row r="41" ht="19" customHeight="1" spans="1:16">
      <c r="A41" s="75"/>
      <c r="B41" s="73"/>
      <c r="C41" s="73"/>
      <c r="D41" s="73"/>
      <c r="E41" s="73"/>
      <c r="F41" s="73"/>
      <c r="G41" s="68"/>
      <c r="H41" s="71"/>
      <c r="I41" s="92" t="s">
        <v>158</v>
      </c>
      <c r="J41" s="73">
        <v>60</v>
      </c>
      <c r="K41" s="73">
        <v>60</v>
      </c>
      <c r="L41" s="73">
        <v>50</v>
      </c>
      <c r="M41" s="73">
        <v>70</v>
      </c>
      <c r="N41" s="73">
        <v>70</v>
      </c>
      <c r="O41" s="68">
        <f t="shared" si="13"/>
        <v>0</v>
      </c>
      <c r="P41" s="69">
        <f t="shared" si="14"/>
        <v>1</v>
      </c>
    </row>
    <row r="42" ht="19" customHeight="1" spans="1:16">
      <c r="A42" s="75"/>
      <c r="B42" s="73"/>
      <c r="C42" s="73"/>
      <c r="D42" s="73"/>
      <c r="E42" s="73"/>
      <c r="F42" s="73"/>
      <c r="G42" s="68"/>
      <c r="H42" s="71"/>
      <c r="I42" s="92" t="s">
        <v>159</v>
      </c>
      <c r="J42" s="73">
        <v>3049</v>
      </c>
      <c r="K42" s="73">
        <f>2285+764</f>
        <v>3049</v>
      </c>
      <c r="L42" s="73">
        <v>1500</v>
      </c>
      <c r="M42" s="72">
        <f>3400+490+845</f>
        <v>4735</v>
      </c>
      <c r="N42" s="72">
        <f>3400+490+845</f>
        <v>4735</v>
      </c>
      <c r="O42" s="68">
        <f t="shared" si="13"/>
        <v>0</v>
      </c>
      <c r="P42" s="69">
        <f t="shared" si="14"/>
        <v>1</v>
      </c>
    </row>
    <row r="43" ht="19" customHeight="1" spans="1:16">
      <c r="A43" s="75"/>
      <c r="B43" s="73"/>
      <c r="C43" s="73"/>
      <c r="D43" s="73"/>
      <c r="E43" s="73"/>
      <c r="F43" s="73"/>
      <c r="G43" s="68"/>
      <c r="H43" s="71"/>
      <c r="I43" s="92" t="s">
        <v>160</v>
      </c>
      <c r="J43" s="73">
        <v>2006</v>
      </c>
      <c r="K43" s="73">
        <f>1888+118</f>
        <v>2006</v>
      </c>
      <c r="L43" s="73">
        <v>20466</v>
      </c>
      <c r="M43" s="72">
        <f>2836+1574</f>
        <v>4410</v>
      </c>
      <c r="N43" s="72">
        <f>2836+1574</f>
        <v>4410</v>
      </c>
      <c r="O43" s="68">
        <f t="shared" si="13"/>
        <v>0</v>
      </c>
      <c r="P43" s="69">
        <f t="shared" si="14"/>
        <v>1</v>
      </c>
    </row>
    <row r="44" ht="19" customHeight="1" spans="1:16">
      <c r="A44" s="75"/>
      <c r="B44" s="73"/>
      <c r="C44" s="73"/>
      <c r="D44" s="73"/>
      <c r="E44" s="73"/>
      <c r="F44" s="73"/>
      <c r="G44" s="68"/>
      <c r="H44" s="71"/>
      <c r="I44" s="99" t="s">
        <v>161</v>
      </c>
      <c r="J44" s="73">
        <v>175000</v>
      </c>
      <c r="K44" s="73">
        <f t="shared" ref="K44:N44" si="16">SUM(K45:K50)</f>
        <v>175000</v>
      </c>
      <c r="L44" s="73">
        <f t="shared" si="16"/>
        <v>174109</v>
      </c>
      <c r="M44" s="73">
        <f t="shared" si="16"/>
        <v>189760</v>
      </c>
      <c r="N44" s="73">
        <f t="shared" si="16"/>
        <v>190560</v>
      </c>
      <c r="O44" s="68">
        <f t="shared" si="13"/>
        <v>800</v>
      </c>
      <c r="P44" s="69">
        <f t="shared" si="14"/>
        <v>1.00421585160202</v>
      </c>
    </row>
    <row r="45" ht="19" customHeight="1" spans="1:16">
      <c r="A45" s="75"/>
      <c r="B45" s="73"/>
      <c r="C45" s="73"/>
      <c r="D45" s="73"/>
      <c r="E45" s="73"/>
      <c r="F45" s="73"/>
      <c r="G45" s="68"/>
      <c r="H45" s="71"/>
      <c r="I45" s="84" t="s">
        <v>162</v>
      </c>
      <c r="J45" s="73"/>
      <c r="K45" s="73"/>
      <c r="L45" s="73"/>
      <c r="M45" s="73"/>
      <c r="N45" s="73"/>
      <c r="O45" s="73"/>
      <c r="P45" s="71"/>
    </row>
    <row r="46" ht="19" customHeight="1" spans="1:16">
      <c r="A46" s="77"/>
      <c r="B46" s="73"/>
      <c r="C46" s="73"/>
      <c r="D46" s="73"/>
      <c r="E46" s="73"/>
      <c r="F46" s="73"/>
      <c r="G46" s="68"/>
      <c r="H46" s="71"/>
      <c r="I46" s="101" t="s">
        <v>163</v>
      </c>
      <c r="J46" s="73">
        <v>27423</v>
      </c>
      <c r="K46" s="73">
        <v>27423</v>
      </c>
      <c r="L46" s="73">
        <v>24001</v>
      </c>
      <c r="M46" s="73">
        <v>17797</v>
      </c>
      <c r="N46" s="73">
        <v>17797</v>
      </c>
      <c r="O46" s="68">
        <f t="shared" ref="O46:O56" si="17">N46-M46</f>
        <v>0</v>
      </c>
      <c r="P46" s="69">
        <f t="shared" ref="P46:P51" si="18">N46/M46</f>
        <v>1</v>
      </c>
    </row>
    <row r="47" ht="19" customHeight="1" spans="1:16">
      <c r="A47" s="77"/>
      <c r="B47" s="73"/>
      <c r="C47" s="73"/>
      <c r="D47" s="73"/>
      <c r="E47" s="73"/>
      <c r="F47" s="73"/>
      <c r="G47" s="68"/>
      <c r="H47" s="71"/>
      <c r="I47" s="84" t="s">
        <v>164</v>
      </c>
      <c r="J47" s="73">
        <v>105350</v>
      </c>
      <c r="K47" s="73">
        <v>105350</v>
      </c>
      <c r="L47" s="73">
        <v>5120</v>
      </c>
      <c r="M47" s="73">
        <v>7375</v>
      </c>
      <c r="N47" s="73">
        <v>7375</v>
      </c>
      <c r="O47" s="68">
        <f t="shared" si="17"/>
        <v>0</v>
      </c>
      <c r="P47" s="69">
        <f t="shared" si="18"/>
        <v>1</v>
      </c>
    </row>
    <row r="48" ht="19" customHeight="1" spans="1:16">
      <c r="A48" s="77"/>
      <c r="B48" s="73"/>
      <c r="C48" s="73"/>
      <c r="D48" s="73"/>
      <c r="E48" s="73"/>
      <c r="F48" s="73"/>
      <c r="G48" s="68"/>
      <c r="H48" s="71"/>
      <c r="I48" s="84" t="s">
        <v>165</v>
      </c>
      <c r="J48" s="73">
        <v>20037</v>
      </c>
      <c r="K48" s="73">
        <v>20037</v>
      </c>
      <c r="L48" s="73">
        <v>16515</v>
      </c>
      <c r="M48" s="73">
        <v>9588</v>
      </c>
      <c r="N48" s="73">
        <v>9588</v>
      </c>
      <c r="O48" s="68">
        <f t="shared" si="17"/>
        <v>0</v>
      </c>
      <c r="P48" s="69">
        <f t="shared" si="18"/>
        <v>1</v>
      </c>
    </row>
    <row r="49" ht="19" customHeight="1" spans="1:16">
      <c r="A49" s="77"/>
      <c r="B49" s="73"/>
      <c r="C49" s="73"/>
      <c r="D49" s="73"/>
      <c r="E49" s="73"/>
      <c r="F49" s="73"/>
      <c r="G49" s="68"/>
      <c r="H49" s="71"/>
      <c r="I49" s="84" t="s">
        <v>166</v>
      </c>
      <c r="J49" s="73">
        <v>22190</v>
      </c>
      <c r="K49" s="73">
        <v>22190</v>
      </c>
      <c r="L49" s="73">
        <v>116641</v>
      </c>
      <c r="M49" s="73">
        <v>155000</v>
      </c>
      <c r="N49" s="73">
        <f>155000+800</f>
        <v>155800</v>
      </c>
      <c r="O49" s="68">
        <f t="shared" si="17"/>
        <v>800</v>
      </c>
      <c r="P49" s="69">
        <f t="shared" si="18"/>
        <v>1.00516129032258</v>
      </c>
    </row>
    <row r="50" ht="19" customHeight="1" spans="1:16">
      <c r="A50" s="78"/>
      <c r="B50" s="73"/>
      <c r="C50" s="73"/>
      <c r="D50" s="73"/>
      <c r="E50" s="73"/>
      <c r="F50" s="73"/>
      <c r="G50" s="68"/>
      <c r="H50" s="71"/>
      <c r="I50" s="84" t="s">
        <v>167</v>
      </c>
      <c r="J50" s="73"/>
      <c r="K50" s="73"/>
      <c r="L50" s="73">
        <v>11832</v>
      </c>
      <c r="M50" s="73"/>
      <c r="N50" s="73"/>
      <c r="O50" s="68"/>
      <c r="P50" s="71"/>
    </row>
    <row r="51" ht="19" customHeight="1" spans="1:16">
      <c r="A51" s="79"/>
      <c r="B51" s="73"/>
      <c r="C51" s="73"/>
      <c r="D51" s="73"/>
      <c r="E51" s="73"/>
      <c r="F51" s="73"/>
      <c r="G51" s="68"/>
      <c r="H51" s="71"/>
      <c r="I51" s="99" t="s">
        <v>168</v>
      </c>
      <c r="J51" s="73">
        <v>1442</v>
      </c>
      <c r="K51" s="73">
        <v>1442</v>
      </c>
      <c r="L51" s="73">
        <f t="shared" ref="L51:N51" si="19">SUM(L52:L57)</f>
        <v>1049</v>
      </c>
      <c r="M51" s="73">
        <f t="shared" si="19"/>
        <v>1661</v>
      </c>
      <c r="N51" s="73">
        <f t="shared" si="19"/>
        <v>1661</v>
      </c>
      <c r="O51" s="68">
        <f t="shared" si="17"/>
        <v>0</v>
      </c>
      <c r="P51" s="69">
        <f t="shared" si="18"/>
        <v>1</v>
      </c>
    </row>
    <row r="52" ht="19" customHeight="1" spans="1:16">
      <c r="A52" s="79"/>
      <c r="B52" s="73"/>
      <c r="C52" s="73"/>
      <c r="D52" s="73"/>
      <c r="E52" s="73"/>
      <c r="F52" s="73"/>
      <c r="G52" s="68"/>
      <c r="H52" s="71"/>
      <c r="I52" s="101" t="s">
        <v>169</v>
      </c>
      <c r="J52" s="73"/>
      <c r="K52" s="73"/>
      <c r="L52" s="73"/>
      <c r="M52" s="73"/>
      <c r="N52" s="73"/>
      <c r="O52" s="68"/>
      <c r="P52" s="71"/>
    </row>
    <row r="53" ht="19" customHeight="1" spans="1:16">
      <c r="A53" s="79"/>
      <c r="B53" s="73"/>
      <c r="C53" s="73"/>
      <c r="D53" s="73"/>
      <c r="E53" s="73"/>
      <c r="F53" s="73"/>
      <c r="G53" s="68"/>
      <c r="H53" s="71"/>
      <c r="I53" s="101" t="s">
        <v>170</v>
      </c>
      <c r="J53" s="73"/>
      <c r="K53" s="73"/>
      <c r="L53" s="73"/>
      <c r="M53" s="73">
        <v>50</v>
      </c>
      <c r="N53" s="73">
        <v>50</v>
      </c>
      <c r="O53" s="68">
        <f t="shared" si="17"/>
        <v>0</v>
      </c>
      <c r="P53" s="69">
        <f t="shared" ref="P53:P56" si="20">N53/M53</f>
        <v>1</v>
      </c>
    </row>
    <row r="54" ht="19" customHeight="1" spans="1:16">
      <c r="A54" s="79"/>
      <c r="B54" s="73"/>
      <c r="C54" s="73"/>
      <c r="D54" s="73"/>
      <c r="E54" s="73"/>
      <c r="F54" s="73"/>
      <c r="G54" s="68"/>
      <c r="H54" s="71"/>
      <c r="I54" s="101" t="s">
        <v>171</v>
      </c>
      <c r="J54" s="73"/>
      <c r="K54" s="73"/>
      <c r="L54" s="73"/>
      <c r="M54" s="73">
        <v>23</v>
      </c>
      <c r="N54" s="73">
        <v>23</v>
      </c>
      <c r="O54" s="68">
        <f t="shared" si="17"/>
        <v>0</v>
      </c>
      <c r="P54" s="69">
        <f t="shared" si="20"/>
        <v>1</v>
      </c>
    </row>
    <row r="55" ht="19" customHeight="1" spans="1:16">
      <c r="A55" s="79"/>
      <c r="B55" s="73"/>
      <c r="C55" s="73"/>
      <c r="D55" s="73"/>
      <c r="E55" s="73"/>
      <c r="F55" s="73"/>
      <c r="G55" s="68"/>
      <c r="H55" s="71"/>
      <c r="I55" s="84" t="s">
        <v>172</v>
      </c>
      <c r="J55" s="73"/>
      <c r="K55" s="73"/>
      <c r="L55" s="73"/>
      <c r="M55" s="73">
        <v>93</v>
      </c>
      <c r="N55" s="73">
        <v>93</v>
      </c>
      <c r="O55" s="68">
        <f t="shared" si="17"/>
        <v>0</v>
      </c>
      <c r="P55" s="69">
        <f t="shared" si="20"/>
        <v>1</v>
      </c>
    </row>
    <row r="56" ht="19" customHeight="1" spans="1:16">
      <c r="A56" s="79"/>
      <c r="B56" s="73"/>
      <c r="C56" s="73"/>
      <c r="D56" s="73"/>
      <c r="E56" s="73"/>
      <c r="F56" s="73"/>
      <c r="G56" s="68"/>
      <c r="H56" s="71"/>
      <c r="I56" s="84" t="s">
        <v>173</v>
      </c>
      <c r="J56" s="73">
        <v>1442</v>
      </c>
      <c r="K56" s="73">
        <v>1442</v>
      </c>
      <c r="L56" s="73">
        <v>1049</v>
      </c>
      <c r="M56" s="73">
        <v>1495</v>
      </c>
      <c r="N56" s="73">
        <v>1495</v>
      </c>
      <c r="O56" s="68">
        <f t="shared" si="17"/>
        <v>0</v>
      </c>
      <c r="P56" s="69">
        <f t="shared" si="20"/>
        <v>1</v>
      </c>
    </row>
    <row r="57" ht="19" customHeight="1" spans="1:16">
      <c r="A57" s="79"/>
      <c r="B57" s="73"/>
      <c r="C57" s="73"/>
      <c r="D57" s="73"/>
      <c r="E57" s="73"/>
      <c r="F57" s="73"/>
      <c r="G57" s="68"/>
      <c r="H57" s="71"/>
      <c r="I57" s="84" t="s">
        <v>174</v>
      </c>
      <c r="J57" s="73"/>
      <c r="K57" s="73"/>
      <c r="L57" s="73"/>
      <c r="M57" s="73"/>
      <c r="N57" s="73"/>
      <c r="O57" s="73"/>
      <c r="P57" s="71"/>
    </row>
    <row r="58" ht="19" hidden="1" customHeight="1" spans="1:16">
      <c r="A58" s="75"/>
      <c r="B58" s="73"/>
      <c r="C58" s="73"/>
      <c r="D58" s="73"/>
      <c r="E58" s="73"/>
      <c r="F58" s="73"/>
      <c r="G58" s="68"/>
      <c r="H58" s="71"/>
      <c r="I58" s="84" t="s">
        <v>175</v>
      </c>
      <c r="J58" s="73">
        <v>0</v>
      </c>
      <c r="K58" s="73">
        <v>0</v>
      </c>
      <c r="L58" s="73">
        <f>SUM(L59:L60)</f>
        <v>0</v>
      </c>
      <c r="M58" s="73"/>
      <c r="N58" s="73"/>
      <c r="O58" s="73" t="e">
        <f t="shared" ref="O56:O61" si="21">(M58/J58-1)*100</f>
        <v>#DIV/0!</v>
      </c>
      <c r="P58" s="71" t="e">
        <f t="shared" ref="P56:P60" si="22">(M58/L58-1)*100</f>
        <v>#DIV/0!</v>
      </c>
    </row>
    <row r="59" ht="19" hidden="1" customHeight="1" spans="1:16">
      <c r="A59" s="75"/>
      <c r="B59" s="73"/>
      <c r="C59" s="73"/>
      <c r="D59" s="73"/>
      <c r="E59" s="73"/>
      <c r="F59" s="73"/>
      <c r="G59" s="68"/>
      <c r="H59" s="71"/>
      <c r="I59" s="84" t="s">
        <v>176</v>
      </c>
      <c r="J59" s="73"/>
      <c r="K59" s="73"/>
      <c r="L59" s="73"/>
      <c r="M59" s="73"/>
      <c r="N59" s="73"/>
      <c r="O59" s="73" t="e">
        <f t="shared" si="21"/>
        <v>#DIV/0!</v>
      </c>
      <c r="P59" s="71" t="e">
        <f t="shared" si="22"/>
        <v>#DIV/0!</v>
      </c>
    </row>
    <row r="60" ht="19" hidden="1" customHeight="1" spans="1:16">
      <c r="A60" s="75"/>
      <c r="B60" s="73"/>
      <c r="C60" s="73"/>
      <c r="D60" s="73"/>
      <c r="E60" s="73"/>
      <c r="F60" s="73"/>
      <c r="G60" s="68"/>
      <c r="H60" s="71"/>
      <c r="I60" s="84" t="s">
        <v>177</v>
      </c>
      <c r="J60" s="73"/>
      <c r="K60" s="73"/>
      <c r="L60" s="73"/>
      <c r="M60" s="73"/>
      <c r="N60" s="73"/>
      <c r="O60" s="73" t="e">
        <f t="shared" si="21"/>
        <v>#DIV/0!</v>
      </c>
      <c r="P60" s="71" t="e">
        <f t="shared" si="22"/>
        <v>#DIV/0!</v>
      </c>
    </row>
    <row r="61" s="45" customFormat="1" ht="19" customHeight="1" spans="1:16">
      <c r="A61" s="80" t="s">
        <v>64</v>
      </c>
      <c r="B61" s="64">
        <f t="shared" ref="B61:F61" si="23">SUM(B62:B67)</f>
        <v>946122</v>
      </c>
      <c r="C61" s="64">
        <f t="shared" si="23"/>
        <v>1204822</v>
      </c>
      <c r="D61" s="64">
        <f t="shared" si="23"/>
        <v>1204820</v>
      </c>
      <c r="E61" s="64">
        <f t="shared" si="23"/>
        <v>769350</v>
      </c>
      <c r="F61" s="64">
        <f t="shared" si="23"/>
        <v>1112350</v>
      </c>
      <c r="G61" s="81">
        <f>F61-E61</f>
        <v>343000</v>
      </c>
      <c r="H61" s="65">
        <f>F61/E61</f>
        <v>1.44583089621109</v>
      </c>
      <c r="I61" s="80" t="s">
        <v>178</v>
      </c>
      <c r="J61" s="64">
        <v>598135</v>
      </c>
      <c r="K61" s="64">
        <v>598135</v>
      </c>
      <c r="L61" s="64">
        <f t="shared" ref="L61:N61" si="24">SUM(L62:L67)</f>
        <v>598135</v>
      </c>
      <c r="M61" s="64">
        <f t="shared" si="24"/>
        <v>383072</v>
      </c>
      <c r="N61" s="64">
        <f t="shared" si="24"/>
        <v>383072</v>
      </c>
      <c r="O61" s="64">
        <f t="shared" ref="O61:O68" si="25">N61-M61</f>
        <v>0</v>
      </c>
      <c r="P61" s="65">
        <f t="shared" ref="P61:P68" si="26">N61/M61</f>
        <v>1</v>
      </c>
    </row>
    <row r="62" ht="19" customHeight="1" spans="1:16">
      <c r="A62" s="82" t="s">
        <v>179</v>
      </c>
      <c r="B62" s="85"/>
      <c r="C62" s="85"/>
      <c r="D62" s="85"/>
      <c r="E62" s="83"/>
      <c r="F62" s="83"/>
      <c r="G62" s="68"/>
      <c r="H62" s="71"/>
      <c r="I62" s="82" t="s">
        <v>180</v>
      </c>
      <c r="J62" s="73"/>
      <c r="K62" s="73"/>
      <c r="L62" s="73"/>
      <c r="M62" s="73"/>
      <c r="N62" s="73"/>
      <c r="O62" s="73"/>
      <c r="P62" s="71"/>
    </row>
    <row r="63" ht="19" customHeight="1" spans="1:16">
      <c r="A63" s="82" t="s">
        <v>181</v>
      </c>
      <c r="B63" s="85"/>
      <c r="C63" s="85"/>
      <c r="D63" s="85"/>
      <c r="E63" s="83"/>
      <c r="F63" s="83"/>
      <c r="G63" s="68"/>
      <c r="H63" s="71"/>
      <c r="I63" s="82" t="s">
        <v>182</v>
      </c>
      <c r="J63" s="72">
        <v>56047</v>
      </c>
      <c r="K63" s="72">
        <v>56047</v>
      </c>
      <c r="L63" s="72">
        <v>56047</v>
      </c>
      <c r="M63" s="72"/>
      <c r="N63" s="72"/>
      <c r="O63" s="68">
        <f t="shared" si="25"/>
        <v>0</v>
      </c>
      <c r="P63" s="69"/>
    </row>
    <row r="64" ht="19" customHeight="1" spans="1:16">
      <c r="A64" s="84" t="s">
        <v>183</v>
      </c>
      <c r="B64" s="85"/>
      <c r="C64" s="85"/>
      <c r="D64" s="85"/>
      <c r="E64" s="83"/>
      <c r="F64" s="83"/>
      <c r="G64" s="68"/>
      <c r="H64" s="71"/>
      <c r="I64" s="82" t="s">
        <v>184</v>
      </c>
      <c r="J64" s="72"/>
      <c r="K64" s="72"/>
      <c r="L64" s="72"/>
      <c r="M64" s="72"/>
      <c r="N64" s="72"/>
      <c r="O64" s="73"/>
      <c r="P64" s="71"/>
    </row>
    <row r="65" ht="19" customHeight="1" spans="1:16">
      <c r="A65" s="84" t="s">
        <v>185</v>
      </c>
      <c r="B65" s="85"/>
      <c r="C65" s="85"/>
      <c r="D65" s="85"/>
      <c r="E65" s="83"/>
      <c r="F65" s="83"/>
      <c r="G65" s="68"/>
      <c r="H65" s="71"/>
      <c r="I65" s="82" t="s">
        <v>186</v>
      </c>
      <c r="J65" s="72">
        <v>255700</v>
      </c>
      <c r="K65" s="72">
        <v>255700</v>
      </c>
      <c r="L65" s="72">
        <v>39500</v>
      </c>
      <c r="M65" s="72">
        <v>156300</v>
      </c>
      <c r="N65" s="72">
        <v>156300</v>
      </c>
      <c r="O65" s="68">
        <f t="shared" si="25"/>
        <v>0</v>
      </c>
      <c r="P65" s="69">
        <f t="shared" si="26"/>
        <v>1</v>
      </c>
    </row>
    <row r="66" ht="19" customHeight="1" spans="1:16">
      <c r="A66" s="128" t="s">
        <v>187</v>
      </c>
      <c r="B66" s="73">
        <v>400000</v>
      </c>
      <c r="C66" s="73">
        <f>400000+228700+30000</f>
        <v>658700</v>
      </c>
      <c r="D66" s="73">
        <v>658700</v>
      </c>
      <c r="E66" s="73">
        <v>419000</v>
      </c>
      <c r="F66" s="73">
        <f>419000+343000</f>
        <v>762000</v>
      </c>
      <c r="G66" s="68">
        <f t="shared" ref="G66:G70" si="27">F66-E66</f>
        <v>343000</v>
      </c>
      <c r="H66" s="69">
        <f t="shared" ref="H66:H70" si="28">F66/E66</f>
        <v>1.81861575178998</v>
      </c>
      <c r="I66" s="82" t="s">
        <v>188</v>
      </c>
      <c r="J66" s="72">
        <v>39500</v>
      </c>
      <c r="K66" s="72">
        <v>39500</v>
      </c>
      <c r="L66" s="72">
        <v>255700</v>
      </c>
      <c r="M66" s="72">
        <v>170922</v>
      </c>
      <c r="N66" s="72">
        <v>170922</v>
      </c>
      <c r="O66" s="68">
        <f t="shared" si="25"/>
        <v>0</v>
      </c>
      <c r="P66" s="69">
        <f t="shared" si="26"/>
        <v>1</v>
      </c>
    </row>
    <row r="67" ht="19" customHeight="1" spans="1:16">
      <c r="A67" s="75" t="s">
        <v>189</v>
      </c>
      <c r="B67" s="73">
        <f>316122+230000</f>
        <v>546122</v>
      </c>
      <c r="C67" s="73">
        <f>316122+230000</f>
        <v>546122</v>
      </c>
      <c r="D67" s="73">
        <v>546120</v>
      </c>
      <c r="E67" s="73">
        <f>294500+55850</f>
        <v>350350</v>
      </c>
      <c r="F67" s="73">
        <f>294500+55850</f>
        <v>350350</v>
      </c>
      <c r="G67" s="68">
        <f t="shared" si="27"/>
        <v>0</v>
      </c>
      <c r="H67" s="69">
        <f t="shared" si="28"/>
        <v>1</v>
      </c>
      <c r="I67" s="75" t="s">
        <v>190</v>
      </c>
      <c r="J67" s="72">
        <v>246888</v>
      </c>
      <c r="K67" s="72">
        <v>246888</v>
      </c>
      <c r="L67" s="72">
        <v>246888</v>
      </c>
      <c r="M67" s="72">
        <v>55850</v>
      </c>
      <c r="N67" s="72">
        <v>55850</v>
      </c>
      <c r="O67" s="68">
        <f t="shared" si="25"/>
        <v>0</v>
      </c>
      <c r="P67" s="69">
        <f t="shared" si="26"/>
        <v>1</v>
      </c>
    </row>
    <row r="68" s="45" customFormat="1" ht="19" customHeight="1" spans="1:16">
      <c r="A68" s="62" t="s">
        <v>72</v>
      </c>
      <c r="B68" s="64">
        <f t="shared" ref="B68:F68" si="29">SUM(B69:B71)</f>
        <v>310254</v>
      </c>
      <c r="C68" s="64">
        <f t="shared" si="29"/>
        <v>310254</v>
      </c>
      <c r="D68" s="64">
        <f t="shared" si="29"/>
        <v>333037</v>
      </c>
      <c r="E68" s="64">
        <f t="shared" si="29"/>
        <v>108296</v>
      </c>
      <c r="F68" s="64">
        <f t="shared" si="29"/>
        <v>108296</v>
      </c>
      <c r="G68" s="81">
        <f t="shared" si="27"/>
        <v>0</v>
      </c>
      <c r="H68" s="65">
        <f t="shared" si="28"/>
        <v>1</v>
      </c>
      <c r="I68" s="62" t="s">
        <v>191</v>
      </c>
      <c r="J68" s="64">
        <v>100000</v>
      </c>
      <c r="K68" s="64">
        <v>100000</v>
      </c>
      <c r="L68" s="64">
        <f t="shared" ref="L68:N68" si="30">SUM(L69:L71)</f>
        <v>172354</v>
      </c>
      <c r="M68" s="64">
        <f t="shared" si="30"/>
        <v>50749</v>
      </c>
      <c r="N68" s="64">
        <f t="shared" si="30"/>
        <v>50749</v>
      </c>
      <c r="O68" s="81">
        <f t="shared" si="25"/>
        <v>0</v>
      </c>
      <c r="P68" s="65">
        <f t="shared" si="26"/>
        <v>1</v>
      </c>
    </row>
    <row r="69" ht="19" customHeight="1" spans="1:16">
      <c r="A69" s="102" t="s">
        <v>192</v>
      </c>
      <c r="B69" s="72">
        <v>3171</v>
      </c>
      <c r="C69" s="72">
        <v>3171</v>
      </c>
      <c r="D69" s="72">
        <v>36326</v>
      </c>
      <c r="E69" s="72">
        <v>34992</v>
      </c>
      <c r="F69" s="72">
        <v>34992</v>
      </c>
      <c r="G69" s="68">
        <f t="shared" si="27"/>
        <v>0</v>
      </c>
      <c r="H69" s="69">
        <f t="shared" si="28"/>
        <v>1</v>
      </c>
      <c r="I69" s="70" t="s">
        <v>193</v>
      </c>
      <c r="J69" s="73"/>
      <c r="K69" s="73"/>
      <c r="L69" s="73"/>
      <c r="M69" s="73"/>
      <c r="N69" s="73"/>
      <c r="O69" s="73"/>
      <c r="P69" s="71"/>
    </row>
    <row r="70" ht="19" customHeight="1" spans="1:16">
      <c r="A70" s="102" t="s">
        <v>106</v>
      </c>
      <c r="B70" s="72">
        <v>307083</v>
      </c>
      <c r="C70" s="72">
        <v>307083</v>
      </c>
      <c r="D70" s="72">
        <f>296711</f>
        <v>296711</v>
      </c>
      <c r="E70" s="72">
        <f>72354</f>
        <v>72354</v>
      </c>
      <c r="F70" s="72">
        <f>72354</f>
        <v>72354</v>
      </c>
      <c r="G70" s="68">
        <f t="shared" si="27"/>
        <v>0</v>
      </c>
      <c r="H70" s="69">
        <f t="shared" si="28"/>
        <v>1</v>
      </c>
      <c r="I70" s="70" t="s">
        <v>194</v>
      </c>
      <c r="J70" s="72">
        <v>65000</v>
      </c>
      <c r="K70" s="72">
        <v>65000</v>
      </c>
      <c r="L70" s="72">
        <f>100000</f>
        <v>100000</v>
      </c>
      <c r="M70" s="72">
        <f>45000</f>
        <v>45000</v>
      </c>
      <c r="N70" s="72">
        <f>45000</f>
        <v>45000</v>
      </c>
      <c r="O70" s="68">
        <f t="shared" ref="O70:O72" si="31">N70-M70</f>
        <v>0</v>
      </c>
      <c r="P70" s="69">
        <f t="shared" ref="P70:P72" si="32">N70/M70</f>
        <v>1</v>
      </c>
    </row>
    <row r="71" ht="19" customHeight="1" spans="1:16">
      <c r="A71" s="102" t="s">
        <v>107</v>
      </c>
      <c r="B71" s="73"/>
      <c r="C71" s="73"/>
      <c r="D71" s="73"/>
      <c r="E71" s="73">
        <v>950</v>
      </c>
      <c r="F71" s="73">
        <v>950</v>
      </c>
      <c r="G71" s="68"/>
      <c r="H71" s="71"/>
      <c r="I71" s="129" t="s">
        <v>195</v>
      </c>
      <c r="J71" s="72">
        <v>35000</v>
      </c>
      <c r="K71" s="72">
        <v>35000</v>
      </c>
      <c r="L71" s="72">
        <f>72354</f>
        <v>72354</v>
      </c>
      <c r="M71" s="72">
        <v>5749</v>
      </c>
      <c r="N71" s="72">
        <v>5749</v>
      </c>
      <c r="O71" s="68">
        <f t="shared" si="31"/>
        <v>0</v>
      </c>
      <c r="P71" s="69">
        <f t="shared" si="32"/>
        <v>1</v>
      </c>
    </row>
    <row r="72" s="45" customFormat="1" ht="19" customHeight="1" spans="1:16">
      <c r="A72" s="62" t="s">
        <v>109</v>
      </c>
      <c r="B72" s="64">
        <f t="shared" ref="B72:F72" si="33">B7+B61+B68</f>
        <v>2956376</v>
      </c>
      <c r="C72" s="64">
        <f t="shared" si="33"/>
        <v>3215076</v>
      </c>
      <c r="D72" s="64">
        <f t="shared" si="33"/>
        <v>2924757</v>
      </c>
      <c r="E72" s="64">
        <f t="shared" si="33"/>
        <v>2377646</v>
      </c>
      <c r="F72" s="64">
        <f t="shared" si="33"/>
        <v>2721446</v>
      </c>
      <c r="G72" s="81">
        <f>F72-E72</f>
        <v>343800</v>
      </c>
      <c r="H72" s="65">
        <f>F72/E72</f>
        <v>1.14459679868239</v>
      </c>
      <c r="I72" s="108" t="s">
        <v>110</v>
      </c>
      <c r="J72" s="64">
        <v>2956376</v>
      </c>
      <c r="K72" s="64">
        <f t="shared" ref="K72:N72" si="34">K7+K61+K68</f>
        <v>3215076</v>
      </c>
      <c r="L72" s="64">
        <f t="shared" si="34"/>
        <v>2924757</v>
      </c>
      <c r="M72" s="64">
        <f t="shared" si="34"/>
        <v>2377646</v>
      </c>
      <c r="N72" s="64">
        <f t="shared" si="34"/>
        <v>2721446</v>
      </c>
      <c r="O72" s="81">
        <f t="shared" si="31"/>
        <v>343800</v>
      </c>
      <c r="P72" s="65">
        <f t="shared" si="32"/>
        <v>1.14459679868239</v>
      </c>
    </row>
    <row r="73" ht="19" customHeight="1"/>
    <row r="74" ht="19" customHeight="1"/>
    <row r="75" ht="19" customHeight="1"/>
  </sheetData>
  <mergeCells count="20">
    <mergeCell ref="A2:P2"/>
    <mergeCell ref="O3:P3"/>
    <mergeCell ref="A4:H4"/>
    <mergeCell ref="I4:P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s>
  <conditionalFormatting sqref="A62:A63">
    <cfRule type="expression" dxfId="0" priority="2" stopIfTrue="1">
      <formula>"len($A:$A)=3"</formula>
    </cfRule>
  </conditionalFormatting>
  <conditionalFormatting sqref="I62:I66">
    <cfRule type="expression" dxfId="0" priority="1" stopIfTrue="1">
      <formula>"len($A:$A)=3"</formula>
    </cfRule>
  </conditionalFormatting>
  <printOptions horizontalCentered="1"/>
  <pageMargins left="0.550694444444444" right="0.550694444444444" top="0.511805555555556" bottom="0.590277777777778" header="0.393055555555556" footer="0.275"/>
  <pageSetup paperSize="8" scale="85" firstPageNumber="3" fitToHeight="0" orientation="landscape" useFirstPageNumber="1" horizontalDpi="600"/>
  <headerFooter>
    <oddFooter>&amp;C&amp;18— &amp;P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2"/>
  <sheetViews>
    <sheetView tabSelected="1" view="pageBreakPreview" zoomScale="85" zoomScaleNormal="100" zoomScaleSheetLayoutView="85" workbookViewId="0">
      <pane xSplit="1" ySplit="6" topLeftCell="B46" activePane="bottomRight" state="frozen"/>
      <selection/>
      <selection pane="topRight"/>
      <selection pane="bottomLeft"/>
      <selection pane="bottomRight" activeCell="A2" sqref="A2:P2"/>
    </sheetView>
  </sheetViews>
  <sheetFormatPr defaultColWidth="8" defaultRowHeight="13.5"/>
  <cols>
    <col min="1" max="1" width="38.625" style="46" customWidth="1"/>
    <col min="2" max="6" width="9.625" style="47" customWidth="1"/>
    <col min="7" max="7" width="8.63333333333333" style="48" customWidth="1"/>
    <col min="8" max="8" width="8.63333333333333" style="49" customWidth="1"/>
    <col min="9" max="9" width="40.625" style="46" customWidth="1"/>
    <col min="10" max="14" width="9.625" style="47" customWidth="1"/>
    <col min="15" max="15" width="8.63333333333333" style="48" customWidth="1"/>
    <col min="16" max="16" width="8.63333333333333" style="49" customWidth="1"/>
    <col min="17" max="16361" width="8" style="47"/>
    <col min="16362" max="16372" width="8" style="50"/>
    <col min="16373" max="16384" width="8" style="32"/>
  </cols>
  <sheetData>
    <row r="1" ht="16" customHeight="1" spans="1:6">
      <c r="A1" s="51" t="s">
        <v>0</v>
      </c>
      <c r="D1" s="105"/>
      <c r="E1" s="105"/>
      <c r="F1" s="106"/>
    </row>
    <row r="2" ht="27" customHeight="1" spans="1:16">
      <c r="A2" s="52" t="s">
        <v>196</v>
      </c>
      <c r="B2" s="53"/>
      <c r="C2" s="53"/>
      <c r="D2" s="53"/>
      <c r="E2" s="53"/>
      <c r="F2" s="53"/>
      <c r="G2" s="54"/>
      <c r="H2" s="86"/>
      <c r="I2" s="52"/>
      <c r="J2" s="53"/>
      <c r="K2" s="53"/>
      <c r="L2" s="53"/>
      <c r="M2" s="53"/>
      <c r="N2" s="53"/>
      <c r="O2" s="54"/>
      <c r="P2" s="86"/>
    </row>
    <row r="3" ht="16" customHeight="1" spans="3:16">
      <c r="C3" s="107"/>
      <c r="D3" s="44"/>
      <c r="I3" s="118"/>
      <c r="O3" s="88" t="s">
        <v>2</v>
      </c>
      <c r="P3" s="89"/>
    </row>
    <row r="4" s="45" customFormat="1" ht="18" customHeight="1" spans="1:16">
      <c r="A4" s="57" t="s">
        <v>3</v>
      </c>
      <c r="B4" s="58"/>
      <c r="C4" s="58"/>
      <c r="D4" s="58"/>
      <c r="E4" s="58"/>
      <c r="F4" s="58"/>
      <c r="G4" s="59"/>
      <c r="H4" s="90"/>
      <c r="I4" s="57" t="s">
        <v>4</v>
      </c>
      <c r="J4" s="58"/>
      <c r="K4" s="58"/>
      <c r="L4" s="58"/>
      <c r="M4" s="58"/>
      <c r="N4" s="58"/>
      <c r="O4" s="59"/>
      <c r="P4" s="90"/>
    </row>
    <row r="5" s="45" customFormat="1" ht="28" customHeight="1" spans="1:16">
      <c r="A5" s="60" t="s">
        <v>5</v>
      </c>
      <c r="B5" s="57" t="s">
        <v>6</v>
      </c>
      <c r="C5" s="57" t="s">
        <v>7</v>
      </c>
      <c r="D5" s="57" t="s">
        <v>8</v>
      </c>
      <c r="E5" s="57" t="s">
        <v>9</v>
      </c>
      <c r="F5" s="57" t="s">
        <v>10</v>
      </c>
      <c r="G5" s="61" t="s">
        <v>11</v>
      </c>
      <c r="H5" s="57" t="s">
        <v>12</v>
      </c>
      <c r="I5" s="91" t="s">
        <v>13</v>
      </c>
      <c r="J5" s="57" t="s">
        <v>6</v>
      </c>
      <c r="K5" s="57" t="s">
        <v>7</v>
      </c>
      <c r="L5" s="57" t="s">
        <v>8</v>
      </c>
      <c r="M5" s="57" t="s">
        <v>9</v>
      </c>
      <c r="N5" s="57" t="s">
        <v>10</v>
      </c>
      <c r="O5" s="61" t="s">
        <v>11</v>
      </c>
      <c r="P5" s="57" t="s">
        <v>12</v>
      </c>
    </row>
    <row r="6" s="45" customFormat="1" ht="28" customHeight="1" spans="1:16">
      <c r="A6" s="60"/>
      <c r="B6" s="57"/>
      <c r="C6" s="57"/>
      <c r="D6" s="57"/>
      <c r="E6" s="57"/>
      <c r="F6" s="57"/>
      <c r="G6" s="61"/>
      <c r="H6" s="57"/>
      <c r="I6" s="91"/>
      <c r="J6" s="57"/>
      <c r="K6" s="57"/>
      <c r="L6" s="57"/>
      <c r="M6" s="57"/>
      <c r="N6" s="57"/>
      <c r="O6" s="61"/>
      <c r="P6" s="57"/>
    </row>
    <row r="7" s="45" customFormat="1" ht="18" customHeight="1" spans="1:16">
      <c r="A7" s="108" t="s">
        <v>14</v>
      </c>
      <c r="B7" s="64">
        <f t="shared" ref="B7:F7" si="0">B8+B23</f>
        <v>1040509</v>
      </c>
      <c r="C7" s="64">
        <f t="shared" si="0"/>
        <v>1040509</v>
      </c>
      <c r="D7" s="64">
        <f t="shared" si="0"/>
        <v>997357</v>
      </c>
      <c r="E7" s="64">
        <f t="shared" si="0"/>
        <v>1031069</v>
      </c>
      <c r="F7" s="64">
        <f t="shared" si="0"/>
        <v>1031069</v>
      </c>
      <c r="G7" s="64">
        <f t="shared" ref="G7:G21" si="1">F7-E7</f>
        <v>0</v>
      </c>
      <c r="H7" s="65">
        <f t="shared" ref="H7:H21" si="2">F7/E7</f>
        <v>1</v>
      </c>
      <c r="I7" s="108" t="s">
        <v>15</v>
      </c>
      <c r="J7" s="63">
        <f t="shared" ref="J7:N7" si="3">SUM(J8:J30)</f>
        <v>1793786</v>
      </c>
      <c r="K7" s="63">
        <f t="shared" si="3"/>
        <v>1799188</v>
      </c>
      <c r="L7" s="63">
        <f t="shared" si="3"/>
        <v>1628537</v>
      </c>
      <c r="M7" s="63">
        <f t="shared" si="3"/>
        <v>1666607</v>
      </c>
      <c r="N7" s="63">
        <f t="shared" si="3"/>
        <v>1659707</v>
      </c>
      <c r="O7" s="64">
        <f t="shared" ref="O7:O30" si="4">N7-M7</f>
        <v>-6900</v>
      </c>
      <c r="P7" s="65">
        <f t="shared" ref="P7:P25" si="5">N7/M7</f>
        <v>0.995859851782694</v>
      </c>
    </row>
    <row r="8" ht="17.5" customHeight="1" spans="1:16">
      <c r="A8" s="109" t="s">
        <v>16</v>
      </c>
      <c r="B8" s="83">
        <f t="shared" ref="B8:F8" si="6">SUM(B9:B22)</f>
        <v>635975</v>
      </c>
      <c r="C8" s="83">
        <f t="shared" si="6"/>
        <v>635975</v>
      </c>
      <c r="D8" s="83">
        <f t="shared" si="6"/>
        <v>582121</v>
      </c>
      <c r="E8" s="83">
        <f t="shared" si="6"/>
        <v>631069</v>
      </c>
      <c r="F8" s="83">
        <f t="shared" si="6"/>
        <v>631069</v>
      </c>
      <c r="G8" s="68">
        <f t="shared" si="1"/>
        <v>0</v>
      </c>
      <c r="H8" s="69">
        <f t="shared" si="2"/>
        <v>1</v>
      </c>
      <c r="I8" s="109" t="s">
        <v>17</v>
      </c>
      <c r="J8" s="83">
        <v>168020</v>
      </c>
      <c r="K8" s="83">
        <v>168020</v>
      </c>
      <c r="L8" s="83">
        <v>158511</v>
      </c>
      <c r="M8" s="83">
        <f>147182-174+39</f>
        <v>147047</v>
      </c>
      <c r="N8" s="83">
        <f>147182-174+39</f>
        <v>147047</v>
      </c>
      <c r="O8" s="68">
        <f t="shared" si="4"/>
        <v>0</v>
      </c>
      <c r="P8" s="69">
        <f t="shared" si="5"/>
        <v>1</v>
      </c>
    </row>
    <row r="9" ht="17.5" customHeight="1" spans="1:16">
      <c r="A9" s="109" t="s">
        <v>18</v>
      </c>
      <c r="B9" s="83">
        <v>67263</v>
      </c>
      <c r="C9" s="83">
        <v>67263</v>
      </c>
      <c r="D9" s="83">
        <v>81290</v>
      </c>
      <c r="E9" s="83">
        <v>66000</v>
      </c>
      <c r="F9" s="83">
        <v>66000</v>
      </c>
      <c r="G9" s="68">
        <f t="shared" si="1"/>
        <v>0</v>
      </c>
      <c r="H9" s="69">
        <f t="shared" si="2"/>
        <v>1</v>
      </c>
      <c r="I9" s="109" t="s">
        <v>19</v>
      </c>
      <c r="J9" s="83"/>
      <c r="K9" s="83"/>
      <c r="L9" s="83">
        <v>21</v>
      </c>
      <c r="M9" s="83">
        <v>49</v>
      </c>
      <c r="N9" s="83">
        <v>49</v>
      </c>
      <c r="O9" s="68">
        <f t="shared" si="4"/>
        <v>0</v>
      </c>
      <c r="P9" s="69"/>
    </row>
    <row r="10" ht="17.5" customHeight="1" spans="1:16">
      <c r="A10" s="109" t="s">
        <v>20</v>
      </c>
      <c r="B10" s="83">
        <v>44520</v>
      </c>
      <c r="C10" s="83">
        <v>44520</v>
      </c>
      <c r="D10" s="83">
        <v>58922</v>
      </c>
      <c r="E10" s="83">
        <v>44513</v>
      </c>
      <c r="F10" s="83">
        <v>44513</v>
      </c>
      <c r="G10" s="68">
        <f t="shared" si="1"/>
        <v>0</v>
      </c>
      <c r="H10" s="69">
        <f t="shared" si="2"/>
        <v>1</v>
      </c>
      <c r="I10" s="109" t="s">
        <v>21</v>
      </c>
      <c r="J10" s="83">
        <v>13320</v>
      </c>
      <c r="K10" s="83">
        <v>13320</v>
      </c>
      <c r="L10" s="83">
        <v>6383</v>
      </c>
      <c r="M10" s="83">
        <v>8406</v>
      </c>
      <c r="N10" s="83">
        <v>8406</v>
      </c>
      <c r="O10" s="68">
        <f t="shared" si="4"/>
        <v>0</v>
      </c>
      <c r="P10" s="69">
        <f t="shared" si="5"/>
        <v>1</v>
      </c>
    </row>
    <row r="11" ht="17.5" customHeight="1" spans="1:16">
      <c r="A11" s="109" t="s">
        <v>22</v>
      </c>
      <c r="B11" s="83">
        <v>17640</v>
      </c>
      <c r="C11" s="83">
        <v>17640</v>
      </c>
      <c r="D11" s="83">
        <v>16195</v>
      </c>
      <c r="E11" s="83">
        <v>17400</v>
      </c>
      <c r="F11" s="83">
        <v>17400</v>
      </c>
      <c r="G11" s="68">
        <f t="shared" si="1"/>
        <v>0</v>
      </c>
      <c r="H11" s="69">
        <f t="shared" si="2"/>
        <v>1</v>
      </c>
      <c r="I11" s="109" t="s">
        <v>23</v>
      </c>
      <c r="J11" s="83">
        <v>103476</v>
      </c>
      <c r="K11" s="83">
        <v>103476</v>
      </c>
      <c r="L11" s="83">
        <v>95279</v>
      </c>
      <c r="M11" s="83">
        <v>103976</v>
      </c>
      <c r="N11" s="83">
        <v>103976</v>
      </c>
      <c r="O11" s="68">
        <f t="shared" si="4"/>
        <v>0</v>
      </c>
      <c r="P11" s="69">
        <f t="shared" si="5"/>
        <v>1</v>
      </c>
    </row>
    <row r="12" ht="17.5" customHeight="1" spans="1:16">
      <c r="A12" s="109" t="s">
        <v>24</v>
      </c>
      <c r="B12" s="83">
        <v>115</v>
      </c>
      <c r="C12" s="83">
        <v>115</v>
      </c>
      <c r="D12" s="83">
        <v>1147</v>
      </c>
      <c r="E12" s="83">
        <v>150</v>
      </c>
      <c r="F12" s="83">
        <v>150</v>
      </c>
      <c r="G12" s="68">
        <f t="shared" si="1"/>
        <v>0</v>
      </c>
      <c r="H12" s="69">
        <f t="shared" si="2"/>
        <v>1</v>
      </c>
      <c r="I12" s="109" t="s">
        <v>25</v>
      </c>
      <c r="J12" s="83">
        <f>150119-20000</f>
        <v>130119</v>
      </c>
      <c r="K12" s="83">
        <f>150119-20000+2000+2500-2986</f>
        <v>131633</v>
      </c>
      <c r="L12" s="83">
        <v>134511</v>
      </c>
      <c r="M12" s="83">
        <v>158864</v>
      </c>
      <c r="N12" s="83">
        <f>158864+3700</f>
        <v>162564</v>
      </c>
      <c r="O12" s="68">
        <f t="shared" si="4"/>
        <v>3700</v>
      </c>
      <c r="P12" s="69">
        <f t="shared" si="5"/>
        <v>1.02329036156713</v>
      </c>
    </row>
    <row r="13" ht="17.5" customHeight="1" spans="1:16">
      <c r="A13" s="109" t="s">
        <v>26</v>
      </c>
      <c r="B13" s="83">
        <v>13500</v>
      </c>
      <c r="C13" s="83">
        <v>13500</v>
      </c>
      <c r="D13" s="83">
        <v>7323</v>
      </c>
      <c r="E13" s="83">
        <v>13500</v>
      </c>
      <c r="F13" s="83">
        <v>13500</v>
      </c>
      <c r="G13" s="68">
        <f t="shared" si="1"/>
        <v>0</v>
      </c>
      <c r="H13" s="69">
        <f t="shared" si="2"/>
        <v>1</v>
      </c>
      <c r="I13" s="109" t="s">
        <v>27</v>
      </c>
      <c r="J13" s="83">
        <f>187825+40000</f>
        <v>227825</v>
      </c>
      <c r="K13" s="83">
        <f>187825+40000</f>
        <v>227825</v>
      </c>
      <c r="L13" s="83">
        <v>195087</v>
      </c>
      <c r="M13" s="83">
        <f>189567+18137</f>
        <v>207704</v>
      </c>
      <c r="N13" s="83">
        <f>189567+18137</f>
        <v>207704</v>
      </c>
      <c r="O13" s="68">
        <f t="shared" si="4"/>
        <v>0</v>
      </c>
      <c r="P13" s="69">
        <f t="shared" si="5"/>
        <v>1</v>
      </c>
    </row>
    <row r="14" s="47" customFormat="1" ht="17.5" customHeight="1" spans="1:16">
      <c r="A14" s="109" t="s">
        <v>28</v>
      </c>
      <c r="B14" s="83">
        <v>70000</v>
      </c>
      <c r="C14" s="83">
        <v>70000</v>
      </c>
      <c r="D14" s="83">
        <v>68545</v>
      </c>
      <c r="E14" s="83">
        <v>75600</v>
      </c>
      <c r="F14" s="83">
        <v>75600</v>
      </c>
      <c r="G14" s="68">
        <f t="shared" si="1"/>
        <v>0</v>
      </c>
      <c r="H14" s="69">
        <f t="shared" si="2"/>
        <v>1</v>
      </c>
      <c r="I14" s="109" t="s">
        <v>29</v>
      </c>
      <c r="J14" s="83">
        <f>42747+15000</f>
        <v>57747</v>
      </c>
      <c r="K14" s="83">
        <f>42747+15000+1000</f>
        <v>58747</v>
      </c>
      <c r="L14" s="83">
        <v>54559</v>
      </c>
      <c r="M14" s="83">
        <v>44377</v>
      </c>
      <c r="N14" s="83">
        <f>44377+1000</f>
        <v>45377</v>
      </c>
      <c r="O14" s="68">
        <f t="shared" si="4"/>
        <v>1000</v>
      </c>
      <c r="P14" s="69">
        <f t="shared" si="5"/>
        <v>1.02253419564189</v>
      </c>
    </row>
    <row r="15" ht="17.5" customHeight="1" spans="1:16">
      <c r="A15" s="109" t="s">
        <v>30</v>
      </c>
      <c r="B15" s="83">
        <v>7500</v>
      </c>
      <c r="C15" s="83">
        <v>7500</v>
      </c>
      <c r="D15" s="83">
        <v>8476</v>
      </c>
      <c r="E15" s="83">
        <v>7500</v>
      </c>
      <c r="F15" s="83">
        <v>7500</v>
      </c>
      <c r="G15" s="68">
        <f t="shared" si="1"/>
        <v>0</v>
      </c>
      <c r="H15" s="69">
        <f t="shared" si="2"/>
        <v>1</v>
      </c>
      <c r="I15" s="109" t="s">
        <v>31</v>
      </c>
      <c r="J15" s="83">
        <f>159547+8</f>
        <v>159555</v>
      </c>
      <c r="K15" s="83">
        <f>159547+8</f>
        <v>159555</v>
      </c>
      <c r="L15" s="83">
        <v>136810</v>
      </c>
      <c r="M15" s="83">
        <f>180907-3360-2217+16</f>
        <v>175346</v>
      </c>
      <c r="N15" s="83">
        <f>180907-3360-2217+16</f>
        <v>175346</v>
      </c>
      <c r="O15" s="68">
        <f t="shared" si="4"/>
        <v>0</v>
      </c>
      <c r="P15" s="69">
        <f t="shared" si="5"/>
        <v>1</v>
      </c>
    </row>
    <row r="16" s="47" customFormat="1" ht="17.5" customHeight="1" spans="1:16">
      <c r="A16" s="109" t="s">
        <v>32</v>
      </c>
      <c r="B16" s="83">
        <v>28000</v>
      </c>
      <c r="C16" s="83">
        <v>28000</v>
      </c>
      <c r="D16" s="83">
        <v>34201</v>
      </c>
      <c r="E16" s="83">
        <v>30100</v>
      </c>
      <c r="F16" s="83">
        <v>30100</v>
      </c>
      <c r="G16" s="68">
        <f t="shared" si="1"/>
        <v>0</v>
      </c>
      <c r="H16" s="69">
        <f t="shared" si="2"/>
        <v>1</v>
      </c>
      <c r="I16" s="109" t="s">
        <v>33</v>
      </c>
      <c r="J16" s="83">
        <v>237249</v>
      </c>
      <c r="K16" s="83">
        <f>237249+6188</f>
        <v>243437</v>
      </c>
      <c r="L16" s="83">
        <v>219522</v>
      </c>
      <c r="M16" s="83">
        <f>167235-104+1753+1093</f>
        <v>169977</v>
      </c>
      <c r="N16" s="83">
        <f>167235-104+1753+1093</f>
        <v>169977</v>
      </c>
      <c r="O16" s="68">
        <f t="shared" si="4"/>
        <v>0</v>
      </c>
      <c r="P16" s="69">
        <f t="shared" si="5"/>
        <v>1</v>
      </c>
    </row>
    <row r="17" s="47" customFormat="1" ht="17.5" customHeight="1" spans="1:16">
      <c r="A17" s="109" t="s">
        <v>34</v>
      </c>
      <c r="B17" s="83">
        <f>244232-10000*0.7</f>
        <v>237232</v>
      </c>
      <c r="C17" s="83">
        <f>244232-10000*0.7</f>
        <v>237232</v>
      </c>
      <c r="D17" s="83">
        <v>157212</v>
      </c>
      <c r="E17" s="83">
        <v>196000</v>
      </c>
      <c r="F17" s="83">
        <v>196000</v>
      </c>
      <c r="G17" s="68">
        <f t="shared" si="1"/>
        <v>0</v>
      </c>
      <c r="H17" s="69">
        <f t="shared" si="2"/>
        <v>1</v>
      </c>
      <c r="I17" s="109" t="s">
        <v>35</v>
      </c>
      <c r="J17" s="83">
        <v>40733</v>
      </c>
      <c r="K17" s="83">
        <v>40733</v>
      </c>
      <c r="L17" s="83">
        <v>39190</v>
      </c>
      <c r="M17" s="83">
        <f>39853-17</f>
        <v>39836</v>
      </c>
      <c r="N17" s="83">
        <f>39853-17</f>
        <v>39836</v>
      </c>
      <c r="O17" s="68">
        <f t="shared" si="4"/>
        <v>0</v>
      </c>
      <c r="P17" s="69">
        <f t="shared" si="5"/>
        <v>1</v>
      </c>
    </row>
    <row r="18" ht="17.5" customHeight="1" spans="1:16">
      <c r="A18" s="109" t="s">
        <v>36</v>
      </c>
      <c r="B18" s="83">
        <v>4500</v>
      </c>
      <c r="C18" s="83">
        <v>4500</v>
      </c>
      <c r="D18" s="83">
        <v>2808</v>
      </c>
      <c r="E18" s="83">
        <v>2850</v>
      </c>
      <c r="F18" s="83">
        <v>2850</v>
      </c>
      <c r="G18" s="68">
        <f t="shared" si="1"/>
        <v>0</v>
      </c>
      <c r="H18" s="69">
        <f t="shared" si="2"/>
        <v>1</v>
      </c>
      <c r="I18" s="109" t="s">
        <v>37</v>
      </c>
      <c r="J18" s="83">
        <f>53110+30000</f>
        <v>83110</v>
      </c>
      <c r="K18" s="83">
        <f>53110+30000+6000-300</f>
        <v>88810</v>
      </c>
      <c r="L18" s="83">
        <v>85515</v>
      </c>
      <c r="M18" s="83">
        <f>87633-10-18137</f>
        <v>69486</v>
      </c>
      <c r="N18" s="83">
        <f>87633-10-18137+700</f>
        <v>70186</v>
      </c>
      <c r="O18" s="68">
        <f t="shared" si="4"/>
        <v>700</v>
      </c>
      <c r="P18" s="69">
        <f t="shared" si="5"/>
        <v>1.01007397173531</v>
      </c>
    </row>
    <row r="19" s="47" customFormat="1" ht="17.5" customHeight="1" spans="1:16">
      <c r="A19" s="109" t="s">
        <v>38</v>
      </c>
      <c r="B19" s="83">
        <v>5600</v>
      </c>
      <c r="C19" s="83">
        <v>5600</v>
      </c>
      <c r="D19" s="83">
        <v>5295</v>
      </c>
      <c r="E19" s="83">
        <v>5600</v>
      </c>
      <c r="F19" s="83">
        <v>5600</v>
      </c>
      <c r="G19" s="68">
        <f t="shared" si="1"/>
        <v>0</v>
      </c>
      <c r="H19" s="69">
        <f t="shared" si="2"/>
        <v>1</v>
      </c>
      <c r="I19" s="109" t="s">
        <v>39</v>
      </c>
      <c r="J19" s="83">
        <f>132452+10000</f>
        <v>142452</v>
      </c>
      <c r="K19" s="83">
        <f>132452+10000+2000</f>
        <v>144452</v>
      </c>
      <c r="L19" s="83">
        <v>137811</v>
      </c>
      <c r="M19" s="83">
        <f>127257-4001-2441-1724-2293</f>
        <v>116798</v>
      </c>
      <c r="N19" s="83">
        <f>127257-4001-2441-1724-2293</f>
        <v>116798</v>
      </c>
      <c r="O19" s="68">
        <f t="shared" si="4"/>
        <v>0</v>
      </c>
      <c r="P19" s="69">
        <f t="shared" si="5"/>
        <v>1</v>
      </c>
    </row>
    <row r="20" s="47" customFormat="1" ht="17.5" customHeight="1" spans="1:16">
      <c r="A20" s="109" t="s">
        <v>40</v>
      </c>
      <c r="B20" s="83">
        <v>140000</v>
      </c>
      <c r="C20" s="83">
        <v>140000</v>
      </c>
      <c r="D20" s="83">
        <v>140452</v>
      </c>
      <c r="E20" s="83">
        <v>171796</v>
      </c>
      <c r="F20" s="83">
        <v>171796</v>
      </c>
      <c r="G20" s="68">
        <f t="shared" si="1"/>
        <v>0</v>
      </c>
      <c r="H20" s="69">
        <f t="shared" si="2"/>
        <v>1</v>
      </c>
      <c r="I20" s="109" t="s">
        <v>41</v>
      </c>
      <c r="J20" s="83">
        <v>143062</v>
      </c>
      <c r="K20" s="83">
        <f>143062+1000</f>
        <v>144062</v>
      </c>
      <c r="L20" s="83">
        <v>89913</v>
      </c>
      <c r="M20" s="83">
        <f>121407-1533</f>
        <v>119874</v>
      </c>
      <c r="N20" s="83">
        <f>121407-1533+4700</f>
        <v>124574</v>
      </c>
      <c r="O20" s="68">
        <f t="shared" si="4"/>
        <v>4700</v>
      </c>
      <c r="P20" s="69">
        <f t="shared" si="5"/>
        <v>1.0392078348933</v>
      </c>
    </row>
    <row r="21" ht="17.5" customHeight="1" spans="1:16">
      <c r="A21" s="109" t="s">
        <v>42</v>
      </c>
      <c r="B21" s="83">
        <v>105</v>
      </c>
      <c r="C21" s="83">
        <v>105</v>
      </c>
      <c r="D21" s="83">
        <v>69</v>
      </c>
      <c r="E21" s="83">
        <v>60</v>
      </c>
      <c r="F21" s="83">
        <v>60</v>
      </c>
      <c r="G21" s="68">
        <f t="shared" si="1"/>
        <v>0</v>
      </c>
      <c r="H21" s="69">
        <f t="shared" si="2"/>
        <v>1</v>
      </c>
      <c r="I21" s="109" t="s">
        <v>43</v>
      </c>
      <c r="J21" s="83">
        <v>4999</v>
      </c>
      <c r="K21" s="83">
        <v>4999</v>
      </c>
      <c r="L21" s="83">
        <v>35570</v>
      </c>
      <c r="M21" s="83">
        <f>28316+43000</f>
        <v>71316</v>
      </c>
      <c r="N21" s="83">
        <f>28316+43000</f>
        <v>71316</v>
      </c>
      <c r="O21" s="68">
        <f t="shared" si="4"/>
        <v>0</v>
      </c>
      <c r="P21" s="69">
        <f t="shared" si="5"/>
        <v>1</v>
      </c>
    </row>
    <row r="22" ht="17.5" customHeight="1" spans="1:16">
      <c r="A22" s="109" t="s">
        <v>44</v>
      </c>
      <c r="B22" s="83"/>
      <c r="C22" s="83"/>
      <c r="D22" s="83">
        <v>186</v>
      </c>
      <c r="E22" s="83">
        <v>0</v>
      </c>
      <c r="F22" s="83">
        <v>0</v>
      </c>
      <c r="G22" s="68"/>
      <c r="H22" s="110"/>
      <c r="I22" s="109" t="s">
        <v>45</v>
      </c>
      <c r="J22" s="83">
        <v>5585</v>
      </c>
      <c r="K22" s="83">
        <v>5585</v>
      </c>
      <c r="L22" s="83">
        <v>39446</v>
      </c>
      <c r="M22" s="83">
        <v>41417</v>
      </c>
      <c r="N22" s="83">
        <v>41417</v>
      </c>
      <c r="O22" s="68">
        <f t="shared" si="4"/>
        <v>0</v>
      </c>
      <c r="P22" s="69">
        <f t="shared" si="5"/>
        <v>1</v>
      </c>
    </row>
    <row r="23" ht="17.5" customHeight="1" spans="1:16">
      <c r="A23" s="109" t="s">
        <v>46</v>
      </c>
      <c r="B23" s="83">
        <f t="shared" ref="B23:F23" si="7">SUM(B24:B31)</f>
        <v>404534</v>
      </c>
      <c r="C23" s="83">
        <f t="shared" si="7"/>
        <v>404534</v>
      </c>
      <c r="D23" s="83">
        <f t="shared" si="7"/>
        <v>415236</v>
      </c>
      <c r="E23" s="83">
        <f t="shared" si="7"/>
        <v>400000</v>
      </c>
      <c r="F23" s="83">
        <f t="shared" si="7"/>
        <v>400000</v>
      </c>
      <c r="G23" s="68">
        <f t="shared" ref="G23:G26" si="8">F23-E23</f>
        <v>0</v>
      </c>
      <c r="H23" s="69">
        <f t="shared" ref="H23:H26" si="9">F23/E23</f>
        <v>1</v>
      </c>
      <c r="I23" s="109" t="s">
        <v>47</v>
      </c>
      <c r="J23" s="83">
        <v>8082</v>
      </c>
      <c r="K23" s="83">
        <v>8082</v>
      </c>
      <c r="L23" s="83">
        <v>6531</v>
      </c>
      <c r="M23" s="83">
        <v>10812</v>
      </c>
      <c r="N23" s="83">
        <v>10812</v>
      </c>
      <c r="O23" s="68">
        <f t="shared" si="4"/>
        <v>0</v>
      </c>
      <c r="P23" s="69">
        <f t="shared" si="5"/>
        <v>1</v>
      </c>
    </row>
    <row r="24" ht="17.5" customHeight="1" spans="1:16">
      <c r="A24" s="109" t="s">
        <v>48</v>
      </c>
      <c r="B24" s="83">
        <f>282952-5000</f>
        <v>277952</v>
      </c>
      <c r="C24" s="83">
        <f>282952-5000</f>
        <v>277952</v>
      </c>
      <c r="D24" s="50">
        <f>318576-4233</f>
        <v>314343</v>
      </c>
      <c r="E24" s="83">
        <v>303000</v>
      </c>
      <c r="F24" s="83">
        <v>303000</v>
      </c>
      <c r="G24" s="68">
        <f t="shared" si="8"/>
        <v>0</v>
      </c>
      <c r="H24" s="69">
        <f t="shared" si="9"/>
        <v>1</v>
      </c>
      <c r="I24" s="109" t="s">
        <v>49</v>
      </c>
      <c r="J24" s="83">
        <v>126245</v>
      </c>
      <c r="K24" s="83">
        <v>126245</v>
      </c>
      <c r="L24" s="83">
        <v>82040</v>
      </c>
      <c r="M24" s="83">
        <v>56695</v>
      </c>
      <c r="N24" s="83">
        <v>56695</v>
      </c>
      <c r="O24" s="68">
        <f t="shared" si="4"/>
        <v>0</v>
      </c>
      <c r="P24" s="69">
        <f t="shared" si="5"/>
        <v>1</v>
      </c>
    </row>
    <row r="25" ht="17.5" customHeight="1" spans="1:16">
      <c r="A25" s="109" t="s">
        <v>50</v>
      </c>
      <c r="B25" s="83">
        <f>30000-2000</f>
        <v>28000</v>
      </c>
      <c r="C25" s="83">
        <f>30000-2000</f>
        <v>28000</v>
      </c>
      <c r="D25" s="83">
        <v>37229</v>
      </c>
      <c r="E25" s="83">
        <v>39000</v>
      </c>
      <c r="F25" s="83">
        <v>39000</v>
      </c>
      <c r="G25" s="68">
        <f t="shared" si="8"/>
        <v>0</v>
      </c>
      <c r="H25" s="69">
        <f t="shared" si="9"/>
        <v>1</v>
      </c>
      <c r="I25" s="109" t="s">
        <v>51</v>
      </c>
      <c r="J25" s="83">
        <v>30733</v>
      </c>
      <c r="K25" s="83">
        <v>30733</v>
      </c>
      <c r="L25" s="83">
        <v>22105</v>
      </c>
      <c r="M25" s="83">
        <f>29013-1926</f>
        <v>27087</v>
      </c>
      <c r="N25" s="83">
        <f>29013-1926</f>
        <v>27087</v>
      </c>
      <c r="O25" s="68">
        <f t="shared" si="4"/>
        <v>0</v>
      </c>
      <c r="P25" s="69">
        <f t="shared" si="5"/>
        <v>1</v>
      </c>
    </row>
    <row r="26" ht="17.5" customHeight="1" spans="1:16">
      <c r="A26" s="109" t="s">
        <v>52</v>
      </c>
      <c r="B26" s="83">
        <v>51582</v>
      </c>
      <c r="C26" s="83">
        <v>51582</v>
      </c>
      <c r="D26" s="83">
        <v>27470</v>
      </c>
      <c r="E26" s="83">
        <v>18000</v>
      </c>
      <c r="F26" s="83">
        <v>18000</v>
      </c>
      <c r="G26" s="68">
        <f t="shared" si="8"/>
        <v>0</v>
      </c>
      <c r="H26" s="69">
        <f t="shared" si="9"/>
        <v>1</v>
      </c>
      <c r="I26" s="109" t="s">
        <v>53</v>
      </c>
      <c r="J26" s="83">
        <v>299</v>
      </c>
      <c r="K26" s="83">
        <v>299</v>
      </c>
      <c r="L26" s="83">
        <v>54</v>
      </c>
      <c r="M26" s="83">
        <v>0</v>
      </c>
      <c r="N26" s="83">
        <v>0</v>
      </c>
      <c r="O26" s="68">
        <f t="shared" si="4"/>
        <v>0</v>
      </c>
      <c r="P26" s="69"/>
    </row>
    <row r="27" ht="17.5" customHeight="1" spans="1:16">
      <c r="A27" s="109" t="s">
        <v>54</v>
      </c>
      <c r="B27" s="83"/>
      <c r="C27" s="83"/>
      <c r="D27" s="83"/>
      <c r="E27" s="83">
        <v>0</v>
      </c>
      <c r="F27" s="83">
        <v>0</v>
      </c>
      <c r="G27" s="68"/>
      <c r="H27" s="110"/>
      <c r="I27" s="109" t="s">
        <v>55</v>
      </c>
      <c r="J27" s="83">
        <v>13684</v>
      </c>
      <c r="K27" s="83">
        <v>13684</v>
      </c>
      <c r="L27" s="83">
        <v>12188</v>
      </c>
      <c r="M27" s="83">
        <v>14659</v>
      </c>
      <c r="N27" s="83">
        <v>14659</v>
      </c>
      <c r="O27" s="68">
        <f t="shared" si="4"/>
        <v>0</v>
      </c>
      <c r="P27" s="69">
        <f t="shared" ref="P27:P30" si="10">N27/M27</f>
        <v>1</v>
      </c>
    </row>
    <row r="28" ht="17.5" customHeight="1" spans="1:16">
      <c r="A28" s="109" t="s">
        <v>56</v>
      </c>
      <c r="B28" s="83">
        <f>43000-3000</f>
        <v>40000</v>
      </c>
      <c r="C28" s="83">
        <f>43000-3000</f>
        <v>40000</v>
      </c>
      <c r="D28" s="83">
        <v>27467</v>
      </c>
      <c r="E28" s="83">
        <v>32500</v>
      </c>
      <c r="F28" s="83">
        <v>32500</v>
      </c>
      <c r="G28" s="68">
        <f>F28-E28</f>
        <v>0</v>
      </c>
      <c r="H28" s="69">
        <f>F28/E28</f>
        <v>1</v>
      </c>
      <c r="I28" s="109" t="s">
        <v>57</v>
      </c>
      <c r="J28" s="83">
        <f>123000-75000</f>
        <v>48000</v>
      </c>
      <c r="K28" s="83">
        <f>123000-75000-12000</f>
        <v>36000</v>
      </c>
      <c r="L28" s="83">
        <v>29921</v>
      </c>
      <c r="M28" s="83">
        <f>49642-7000-6000+4</f>
        <v>36646</v>
      </c>
      <c r="N28" s="83">
        <f>49642-7000-6000+4-17000</f>
        <v>19646</v>
      </c>
      <c r="O28" s="68">
        <f t="shared" si="4"/>
        <v>-17000</v>
      </c>
      <c r="P28" s="69">
        <f t="shared" si="10"/>
        <v>0.536102166675763</v>
      </c>
    </row>
    <row r="29" ht="17.5" customHeight="1" spans="1:16">
      <c r="A29" s="109" t="s">
        <v>58</v>
      </c>
      <c r="B29" s="83"/>
      <c r="C29" s="83"/>
      <c r="D29" s="83">
        <v>40</v>
      </c>
      <c r="E29" s="83">
        <v>0</v>
      </c>
      <c r="F29" s="83">
        <v>0</v>
      </c>
      <c r="G29" s="68"/>
      <c r="H29" s="69"/>
      <c r="I29" s="109" t="s">
        <v>59</v>
      </c>
      <c r="J29" s="83">
        <v>49168</v>
      </c>
      <c r="K29" s="83">
        <v>49168</v>
      </c>
      <c r="L29" s="83">
        <v>47364</v>
      </c>
      <c r="M29" s="83">
        <v>45863</v>
      </c>
      <c r="N29" s="83">
        <v>45863</v>
      </c>
      <c r="O29" s="68">
        <f t="shared" si="4"/>
        <v>0</v>
      </c>
      <c r="P29" s="69">
        <f t="shared" si="10"/>
        <v>1</v>
      </c>
    </row>
    <row r="30" ht="17.5" customHeight="1" spans="1:16">
      <c r="A30" s="109" t="s">
        <v>60</v>
      </c>
      <c r="B30" s="83"/>
      <c r="C30" s="83"/>
      <c r="D30" s="83">
        <v>22</v>
      </c>
      <c r="E30" s="83">
        <v>0</v>
      </c>
      <c r="F30" s="83">
        <v>0</v>
      </c>
      <c r="G30" s="68"/>
      <c r="H30" s="69"/>
      <c r="I30" s="109" t="s">
        <v>61</v>
      </c>
      <c r="J30" s="83">
        <v>323</v>
      </c>
      <c r="K30" s="83">
        <v>323</v>
      </c>
      <c r="L30" s="83">
        <v>206</v>
      </c>
      <c r="M30" s="83">
        <v>372</v>
      </c>
      <c r="N30" s="83">
        <v>372</v>
      </c>
      <c r="O30" s="68">
        <f t="shared" si="4"/>
        <v>0</v>
      </c>
      <c r="P30" s="69">
        <f t="shared" si="10"/>
        <v>1</v>
      </c>
    </row>
    <row r="31" ht="17.5" customHeight="1" spans="1:16">
      <c r="A31" s="109" t="s">
        <v>62</v>
      </c>
      <c r="B31" s="83">
        <v>7000</v>
      </c>
      <c r="C31" s="83">
        <v>7000</v>
      </c>
      <c r="D31" s="83">
        <v>8665</v>
      </c>
      <c r="E31" s="83">
        <v>7500</v>
      </c>
      <c r="F31" s="83">
        <v>7500</v>
      </c>
      <c r="G31" s="68">
        <f t="shared" ref="G31:G35" si="11">F31-E31</f>
        <v>0</v>
      </c>
      <c r="H31" s="69">
        <f t="shared" ref="H31:H35" si="12">F31/E31</f>
        <v>1</v>
      </c>
      <c r="I31" s="75"/>
      <c r="J31" s="72"/>
      <c r="K31" s="73"/>
      <c r="L31" s="72"/>
      <c r="M31" s="72"/>
      <c r="N31" s="72"/>
      <c r="O31" s="117"/>
      <c r="P31" s="110"/>
    </row>
    <row r="32" s="45" customFormat="1" ht="17.5" customHeight="1" spans="1:16">
      <c r="A32" s="111"/>
      <c r="B32" s="63"/>
      <c r="C32" s="64"/>
      <c r="D32" s="63"/>
      <c r="E32" s="63"/>
      <c r="F32" s="63"/>
      <c r="G32" s="112"/>
      <c r="H32" s="113"/>
      <c r="I32" s="108" t="s">
        <v>63</v>
      </c>
      <c r="J32" s="63">
        <v>20000</v>
      </c>
      <c r="K32" s="64">
        <v>20000</v>
      </c>
      <c r="L32" s="63"/>
      <c r="M32" s="63">
        <v>20000</v>
      </c>
      <c r="N32" s="63">
        <v>20000</v>
      </c>
      <c r="O32" s="119">
        <f>(M32/J32-1)*100</f>
        <v>0</v>
      </c>
      <c r="P32" s="120"/>
    </row>
    <row r="33" ht="17.5" customHeight="1" spans="1:16">
      <c r="A33" s="109"/>
      <c r="B33" s="72"/>
      <c r="C33" s="73"/>
      <c r="D33" s="72"/>
      <c r="E33" s="72"/>
      <c r="F33" s="72"/>
      <c r="G33" s="74"/>
      <c r="H33" s="93"/>
      <c r="I33" s="111"/>
      <c r="J33" s="72"/>
      <c r="K33" s="73"/>
      <c r="L33" s="72"/>
      <c r="M33" s="72"/>
      <c r="N33" s="72"/>
      <c r="O33" s="72"/>
      <c r="P33" s="93"/>
    </row>
    <row r="34" s="45" customFormat="1" ht="17.5" customHeight="1" spans="1:16">
      <c r="A34" s="114" t="s">
        <v>64</v>
      </c>
      <c r="B34" s="63">
        <f t="shared" ref="B34:F34" si="13">SUM(B35:B38)</f>
        <v>191213</v>
      </c>
      <c r="C34" s="64">
        <f t="shared" si="13"/>
        <v>237613</v>
      </c>
      <c r="D34" s="63">
        <f t="shared" si="13"/>
        <v>237613</v>
      </c>
      <c r="E34" s="63">
        <f t="shared" si="13"/>
        <v>201900</v>
      </c>
      <c r="F34" s="63">
        <f t="shared" si="13"/>
        <v>214900</v>
      </c>
      <c r="G34" s="81">
        <f t="shared" si="11"/>
        <v>13000</v>
      </c>
      <c r="H34" s="65">
        <f t="shared" si="12"/>
        <v>1.06438831104507</v>
      </c>
      <c r="I34" s="114" t="s">
        <v>65</v>
      </c>
      <c r="J34" s="63">
        <f t="shared" ref="J34:N34" si="14">SUM(J35:J36)</f>
        <v>207097</v>
      </c>
      <c r="K34" s="64">
        <f t="shared" si="14"/>
        <v>207097</v>
      </c>
      <c r="L34" s="63">
        <f t="shared" si="14"/>
        <v>207097</v>
      </c>
      <c r="M34" s="63">
        <f t="shared" si="14"/>
        <v>165868</v>
      </c>
      <c r="N34" s="63">
        <f t="shared" si="14"/>
        <v>165868</v>
      </c>
      <c r="O34" s="64">
        <f>N34-M34</f>
        <v>0</v>
      </c>
      <c r="P34" s="65">
        <f>N34/M34</f>
        <v>1</v>
      </c>
    </row>
    <row r="35" ht="17.5" customHeight="1" spans="1:16">
      <c r="A35" s="77" t="s">
        <v>66</v>
      </c>
      <c r="B35" s="72">
        <v>12000</v>
      </c>
      <c r="C35" s="73">
        <f>12000+46400</f>
        <v>58400</v>
      </c>
      <c r="D35" s="115">
        <v>58400</v>
      </c>
      <c r="E35" s="115">
        <v>17000</v>
      </c>
      <c r="F35" s="115">
        <f>17000+13000</f>
        <v>30000</v>
      </c>
      <c r="G35" s="68">
        <f t="shared" si="11"/>
        <v>13000</v>
      </c>
      <c r="H35" s="69">
        <f t="shared" si="12"/>
        <v>1.76470588235294</v>
      </c>
      <c r="I35" s="79" t="s">
        <v>67</v>
      </c>
      <c r="J35" s="83">
        <v>199125</v>
      </c>
      <c r="K35" s="83">
        <v>199125</v>
      </c>
      <c r="L35" s="83">
        <v>199125</v>
      </c>
      <c r="M35" s="83">
        <f>145275+20593</f>
        <v>165868</v>
      </c>
      <c r="N35" s="83">
        <f>145275+20593</f>
        <v>165868</v>
      </c>
      <c r="O35" s="68">
        <f>N35-M35</f>
        <v>0</v>
      </c>
      <c r="P35" s="69">
        <f>N35/M35</f>
        <v>1</v>
      </c>
    </row>
    <row r="36" ht="17.5" customHeight="1" spans="1:16">
      <c r="A36" s="77" t="s">
        <v>68</v>
      </c>
      <c r="B36" s="72"/>
      <c r="C36" s="73"/>
      <c r="D36" s="72"/>
      <c r="E36" s="115"/>
      <c r="F36" s="115"/>
      <c r="G36" s="74"/>
      <c r="H36" s="116"/>
      <c r="I36" s="79" t="s">
        <v>69</v>
      </c>
      <c r="J36" s="72">
        <v>7972</v>
      </c>
      <c r="K36" s="73">
        <v>7972</v>
      </c>
      <c r="L36" s="72">
        <v>7972</v>
      </c>
      <c r="M36" s="72"/>
      <c r="N36" s="72"/>
      <c r="O36" s="72"/>
      <c r="P36" s="93"/>
    </row>
    <row r="37" ht="17.5" customHeight="1" spans="1:16">
      <c r="A37" s="77" t="s">
        <v>70</v>
      </c>
      <c r="B37" s="72"/>
      <c r="C37" s="73"/>
      <c r="D37" s="72"/>
      <c r="E37" s="115"/>
      <c r="F37" s="115"/>
      <c r="G37" s="74"/>
      <c r="H37" s="116"/>
      <c r="I37" s="75"/>
      <c r="J37" s="72"/>
      <c r="K37" s="73"/>
      <c r="L37" s="72"/>
      <c r="M37" s="72"/>
      <c r="N37" s="72"/>
      <c r="O37" s="72"/>
      <c r="P37" s="93"/>
    </row>
    <row r="38" ht="17.5" customHeight="1" spans="1:16">
      <c r="A38" s="77" t="s">
        <v>71</v>
      </c>
      <c r="B38" s="83">
        <v>179213</v>
      </c>
      <c r="C38" s="83">
        <v>179213</v>
      </c>
      <c r="D38" s="83">
        <v>179213</v>
      </c>
      <c r="E38" s="115">
        <v>184900</v>
      </c>
      <c r="F38" s="115">
        <v>184900</v>
      </c>
      <c r="G38" s="68">
        <f t="shared" ref="G38:G50" si="15">F38-E38</f>
        <v>0</v>
      </c>
      <c r="H38" s="69">
        <f t="shared" ref="H38:H50" si="16">F38/E38</f>
        <v>1</v>
      </c>
      <c r="I38" s="75"/>
      <c r="J38" s="72"/>
      <c r="K38" s="73"/>
      <c r="L38" s="72"/>
      <c r="M38" s="72"/>
      <c r="N38" s="72"/>
      <c r="O38" s="72"/>
      <c r="P38" s="93"/>
    </row>
    <row r="39" s="45" customFormat="1" ht="17.5" customHeight="1" spans="1:16">
      <c r="A39" s="114" t="s">
        <v>72</v>
      </c>
      <c r="B39" s="64">
        <f t="shared" ref="B39:F39" si="17">B40+B65+B68+B69+B70</f>
        <v>1294423</v>
      </c>
      <c r="C39" s="64">
        <f t="shared" si="17"/>
        <v>1294423</v>
      </c>
      <c r="D39" s="64">
        <f t="shared" si="17"/>
        <v>1619851</v>
      </c>
      <c r="E39" s="64">
        <f t="shared" si="17"/>
        <v>1170756</v>
      </c>
      <c r="F39" s="64">
        <f t="shared" si="17"/>
        <v>1170756</v>
      </c>
      <c r="G39" s="81">
        <f t="shared" si="15"/>
        <v>0</v>
      </c>
      <c r="H39" s="65">
        <f t="shared" si="16"/>
        <v>1</v>
      </c>
      <c r="I39" s="114" t="s">
        <v>73</v>
      </c>
      <c r="J39" s="64">
        <f t="shared" ref="J39:N39" si="18">J40+J60+J63+J64+J65+J66+J69</f>
        <v>505262</v>
      </c>
      <c r="K39" s="64">
        <f t="shared" si="18"/>
        <v>546260</v>
      </c>
      <c r="L39" s="64">
        <f t="shared" si="18"/>
        <v>1019187</v>
      </c>
      <c r="M39" s="64">
        <f t="shared" si="18"/>
        <v>551250</v>
      </c>
      <c r="N39" s="64">
        <f t="shared" si="18"/>
        <v>571150</v>
      </c>
      <c r="O39" s="64">
        <f t="shared" ref="O39:O45" si="19">N39-M39</f>
        <v>19900</v>
      </c>
      <c r="P39" s="65">
        <f t="shared" ref="P39:P45" si="20">N39/M39</f>
        <v>1.03609977324263</v>
      </c>
    </row>
    <row r="40" ht="17.3" customHeight="1" spans="1:16">
      <c r="A40" s="79" t="s">
        <v>74</v>
      </c>
      <c r="B40" s="72">
        <f t="shared" ref="B40:F40" si="21">B41+B47+B64</f>
        <v>772535</v>
      </c>
      <c r="C40" s="72">
        <f t="shared" si="21"/>
        <v>772535</v>
      </c>
      <c r="D40" s="72">
        <f t="shared" si="21"/>
        <v>1100818</v>
      </c>
      <c r="E40" s="72">
        <f t="shared" si="21"/>
        <v>662955</v>
      </c>
      <c r="F40" s="72">
        <f t="shared" si="21"/>
        <v>662955</v>
      </c>
      <c r="G40" s="68">
        <f t="shared" si="15"/>
        <v>0</v>
      </c>
      <c r="H40" s="69">
        <f t="shared" si="16"/>
        <v>1</v>
      </c>
      <c r="I40" s="79" t="s">
        <v>197</v>
      </c>
      <c r="J40" s="72">
        <f t="shared" ref="J40:N40" si="22">J41+J42+J59</f>
        <v>150212</v>
      </c>
      <c r="K40" s="72">
        <f t="shared" si="22"/>
        <v>150212</v>
      </c>
      <c r="L40" s="72">
        <f t="shared" si="22"/>
        <v>311109</v>
      </c>
      <c r="M40" s="72">
        <f t="shared" si="22"/>
        <v>172976</v>
      </c>
      <c r="N40" s="72">
        <f t="shared" si="22"/>
        <v>172976</v>
      </c>
      <c r="O40" s="68">
        <f t="shared" si="19"/>
        <v>0</v>
      </c>
      <c r="P40" s="69">
        <f t="shared" si="20"/>
        <v>1</v>
      </c>
    </row>
    <row r="41" ht="17.3" customHeight="1" spans="1:16">
      <c r="A41" s="79" t="s">
        <v>76</v>
      </c>
      <c r="B41" s="72">
        <f t="shared" ref="B41:F41" si="23">SUM(B42:B46)</f>
        <v>108507</v>
      </c>
      <c r="C41" s="72">
        <f t="shared" si="23"/>
        <v>108507</v>
      </c>
      <c r="D41" s="72">
        <f t="shared" si="23"/>
        <v>108507</v>
      </c>
      <c r="E41" s="72">
        <f t="shared" si="23"/>
        <v>108507</v>
      </c>
      <c r="F41" s="72">
        <f t="shared" si="23"/>
        <v>108507</v>
      </c>
      <c r="G41" s="68">
        <f t="shared" si="15"/>
        <v>0</v>
      </c>
      <c r="H41" s="69">
        <f t="shared" si="16"/>
        <v>1</v>
      </c>
      <c r="I41" s="121" t="s">
        <v>198</v>
      </c>
      <c r="J41" s="72"/>
      <c r="K41" s="72"/>
      <c r="L41" s="72"/>
      <c r="M41" s="72"/>
      <c r="N41" s="72"/>
      <c r="O41" s="72"/>
      <c r="P41" s="93"/>
    </row>
    <row r="42" ht="17.3" customHeight="1" spans="1:16">
      <c r="A42" s="79" t="s">
        <v>78</v>
      </c>
      <c r="B42" s="72">
        <v>4040</v>
      </c>
      <c r="C42" s="72">
        <v>4040</v>
      </c>
      <c r="D42" s="72">
        <v>4040</v>
      </c>
      <c r="E42" s="72">
        <v>4040</v>
      </c>
      <c r="F42" s="72">
        <v>4040</v>
      </c>
      <c r="G42" s="68">
        <f t="shared" si="15"/>
        <v>0</v>
      </c>
      <c r="H42" s="69">
        <f t="shared" si="16"/>
        <v>1</v>
      </c>
      <c r="I42" s="121" t="s">
        <v>199</v>
      </c>
      <c r="J42" s="72">
        <f t="shared" ref="J42:N42" si="24">SUM(J43:J58)</f>
        <v>114880</v>
      </c>
      <c r="K42" s="72">
        <f t="shared" si="24"/>
        <v>114880</v>
      </c>
      <c r="L42" s="72">
        <f t="shared" si="24"/>
        <v>209410</v>
      </c>
      <c r="M42" s="72">
        <f t="shared" si="24"/>
        <v>111560</v>
      </c>
      <c r="N42" s="72">
        <f t="shared" si="24"/>
        <v>111560</v>
      </c>
      <c r="O42" s="68">
        <f t="shared" si="19"/>
        <v>0</v>
      </c>
      <c r="P42" s="69">
        <f t="shared" si="20"/>
        <v>1</v>
      </c>
    </row>
    <row r="43" ht="17.3" customHeight="1" spans="1:16">
      <c r="A43" s="79" t="s">
        <v>80</v>
      </c>
      <c r="B43" s="72"/>
      <c r="C43" s="72"/>
      <c r="D43" s="72"/>
      <c r="E43" s="72"/>
      <c r="F43" s="72"/>
      <c r="G43" s="68">
        <f t="shared" si="15"/>
        <v>0</v>
      </c>
      <c r="H43" s="69"/>
      <c r="I43" s="121" t="s">
        <v>200</v>
      </c>
      <c r="J43" s="72"/>
      <c r="K43" s="72"/>
      <c r="L43" s="72">
        <v>7500</v>
      </c>
      <c r="M43" s="72"/>
      <c r="N43" s="72"/>
      <c r="O43" s="72"/>
      <c r="P43" s="93"/>
    </row>
    <row r="44" ht="17.3" customHeight="1" spans="1:16">
      <c r="A44" s="79" t="s">
        <v>82</v>
      </c>
      <c r="B44" s="72">
        <v>2840</v>
      </c>
      <c r="C44" s="72">
        <v>2840</v>
      </c>
      <c r="D44" s="72">
        <v>2840</v>
      </c>
      <c r="E44" s="72">
        <v>2840</v>
      </c>
      <c r="F44" s="72">
        <v>2840</v>
      </c>
      <c r="G44" s="68">
        <f t="shared" si="15"/>
        <v>0</v>
      </c>
      <c r="H44" s="69">
        <f t="shared" si="16"/>
        <v>1</v>
      </c>
      <c r="I44" s="121" t="s">
        <v>201</v>
      </c>
      <c r="J44" s="72">
        <v>9778</v>
      </c>
      <c r="K44" s="72">
        <v>9778</v>
      </c>
      <c r="L44" s="72">
        <v>19361</v>
      </c>
      <c r="M44" s="72">
        <v>8799</v>
      </c>
      <c r="N44" s="72">
        <v>8799</v>
      </c>
      <c r="O44" s="68">
        <f t="shared" si="19"/>
        <v>0</v>
      </c>
      <c r="P44" s="69">
        <f t="shared" si="20"/>
        <v>1</v>
      </c>
    </row>
    <row r="45" ht="17.3" customHeight="1" spans="1:16">
      <c r="A45" s="79" t="s">
        <v>84</v>
      </c>
      <c r="B45" s="72">
        <v>875</v>
      </c>
      <c r="C45" s="72">
        <v>875</v>
      </c>
      <c r="D45" s="72">
        <v>875</v>
      </c>
      <c r="E45" s="72">
        <v>875</v>
      </c>
      <c r="F45" s="72">
        <v>875</v>
      </c>
      <c r="G45" s="68">
        <f t="shared" si="15"/>
        <v>0</v>
      </c>
      <c r="H45" s="69">
        <f t="shared" si="16"/>
        <v>1</v>
      </c>
      <c r="I45" s="121" t="s">
        <v>202</v>
      </c>
      <c r="J45" s="72">
        <v>22789</v>
      </c>
      <c r="K45" s="72">
        <v>22789</v>
      </c>
      <c r="L45" s="72">
        <v>47666</v>
      </c>
      <c r="M45" s="72">
        <v>15335</v>
      </c>
      <c r="N45" s="72">
        <v>15335</v>
      </c>
      <c r="O45" s="68">
        <f t="shared" si="19"/>
        <v>0</v>
      </c>
      <c r="P45" s="69">
        <f t="shared" si="20"/>
        <v>1</v>
      </c>
    </row>
    <row r="46" ht="17.3" customHeight="1" spans="1:16">
      <c r="A46" s="79" t="s">
        <v>86</v>
      </c>
      <c r="B46" s="72">
        <v>100752</v>
      </c>
      <c r="C46" s="72">
        <v>100752</v>
      </c>
      <c r="D46" s="72">
        <v>100752</v>
      </c>
      <c r="E46" s="72">
        <v>100752</v>
      </c>
      <c r="F46" s="72">
        <v>100752</v>
      </c>
      <c r="G46" s="68">
        <f t="shared" si="15"/>
        <v>0</v>
      </c>
      <c r="H46" s="69">
        <f t="shared" si="16"/>
        <v>1</v>
      </c>
      <c r="I46" s="121" t="s">
        <v>203</v>
      </c>
      <c r="J46" s="72"/>
      <c r="K46" s="72"/>
      <c r="L46" s="72"/>
      <c r="M46" s="72"/>
      <c r="N46" s="72"/>
      <c r="O46" s="72"/>
      <c r="P46" s="93"/>
    </row>
    <row r="47" ht="17.3" customHeight="1" spans="1:16">
      <c r="A47" s="79" t="s">
        <v>88</v>
      </c>
      <c r="B47" s="72">
        <f t="shared" ref="B47:F47" si="25">SUM(B48:B63)</f>
        <v>542073</v>
      </c>
      <c r="C47" s="72">
        <f t="shared" si="25"/>
        <v>542073</v>
      </c>
      <c r="D47" s="72">
        <f t="shared" si="25"/>
        <v>754637</v>
      </c>
      <c r="E47" s="72">
        <f t="shared" si="25"/>
        <v>515685</v>
      </c>
      <c r="F47" s="72">
        <f t="shared" si="25"/>
        <v>515685</v>
      </c>
      <c r="G47" s="68">
        <f t="shared" si="15"/>
        <v>0</v>
      </c>
      <c r="H47" s="69">
        <f t="shared" si="16"/>
        <v>1</v>
      </c>
      <c r="I47" s="121" t="s">
        <v>204</v>
      </c>
      <c r="J47" s="72"/>
      <c r="K47" s="72"/>
      <c r="L47" s="72"/>
      <c r="M47" s="72"/>
      <c r="N47" s="72"/>
      <c r="O47" s="72"/>
      <c r="P47" s="93"/>
    </row>
    <row r="48" ht="17.3" customHeight="1" spans="1:16">
      <c r="A48" s="79" t="s">
        <v>89</v>
      </c>
      <c r="B48" s="72">
        <v>35005</v>
      </c>
      <c r="C48" s="72">
        <v>35005</v>
      </c>
      <c r="D48" s="72">
        <v>56894</v>
      </c>
      <c r="E48" s="72">
        <v>43699</v>
      </c>
      <c r="F48" s="72">
        <v>43699</v>
      </c>
      <c r="G48" s="68">
        <f t="shared" si="15"/>
        <v>0</v>
      </c>
      <c r="H48" s="69">
        <f t="shared" si="16"/>
        <v>1</v>
      </c>
      <c r="I48" s="121" t="s">
        <v>205</v>
      </c>
      <c r="J48" s="72"/>
      <c r="K48" s="72"/>
      <c r="L48" s="72"/>
      <c r="M48" s="72"/>
      <c r="N48" s="72"/>
      <c r="O48" s="72"/>
      <c r="P48" s="93"/>
    </row>
    <row r="49" ht="17.3" customHeight="1" spans="1:16">
      <c r="A49" s="79" t="s">
        <v>90</v>
      </c>
      <c r="B49" s="72">
        <v>9778</v>
      </c>
      <c r="C49" s="72">
        <v>9778</v>
      </c>
      <c r="D49" s="72">
        <v>19361</v>
      </c>
      <c r="E49" s="72">
        <v>8799</v>
      </c>
      <c r="F49" s="72">
        <v>8799</v>
      </c>
      <c r="G49" s="68">
        <f t="shared" si="15"/>
        <v>0</v>
      </c>
      <c r="H49" s="69">
        <f t="shared" si="16"/>
        <v>1</v>
      </c>
      <c r="I49" s="121" t="s">
        <v>206</v>
      </c>
      <c r="J49" s="72">
        <v>40000</v>
      </c>
      <c r="K49" s="72">
        <v>40000</v>
      </c>
      <c r="L49" s="72">
        <v>40000</v>
      </c>
      <c r="M49" s="72">
        <v>40000</v>
      </c>
      <c r="N49" s="72">
        <v>40000</v>
      </c>
      <c r="O49" s="68">
        <f t="shared" ref="O49:O54" si="26">N49-M49</f>
        <v>0</v>
      </c>
      <c r="P49" s="69">
        <f t="shared" ref="P49:P54" si="27">N49/M49</f>
        <v>1</v>
      </c>
    </row>
    <row r="50" ht="17.3" customHeight="1" spans="1:16">
      <c r="A50" s="79" t="s">
        <v>91</v>
      </c>
      <c r="B50" s="72">
        <v>192419</v>
      </c>
      <c r="C50" s="72">
        <v>192419</v>
      </c>
      <c r="D50" s="72">
        <v>305406</v>
      </c>
      <c r="E50" s="72">
        <v>153302</v>
      </c>
      <c r="F50" s="72">
        <v>153302</v>
      </c>
      <c r="G50" s="68">
        <f t="shared" si="15"/>
        <v>0</v>
      </c>
      <c r="H50" s="69">
        <f t="shared" si="16"/>
        <v>1</v>
      </c>
      <c r="I50" s="121" t="s">
        <v>207</v>
      </c>
      <c r="J50" s="72"/>
      <c r="K50" s="72"/>
      <c r="L50" s="72"/>
      <c r="M50" s="72"/>
      <c r="N50" s="72"/>
      <c r="O50" s="72"/>
      <c r="P50" s="93"/>
    </row>
    <row r="51" ht="17.3" customHeight="1" spans="1:16">
      <c r="A51" s="79" t="s">
        <v>92</v>
      </c>
      <c r="B51" s="72"/>
      <c r="C51" s="72"/>
      <c r="D51" s="72">
        <v>0</v>
      </c>
      <c r="E51" s="72"/>
      <c r="F51" s="72"/>
      <c r="G51" s="117"/>
      <c r="H51" s="110"/>
      <c r="I51" s="121" t="s">
        <v>208</v>
      </c>
      <c r="J51" s="72"/>
      <c r="K51" s="72"/>
      <c r="L51" s="72"/>
      <c r="M51" s="72"/>
      <c r="N51" s="72"/>
      <c r="O51" s="72"/>
      <c r="P51" s="93"/>
    </row>
    <row r="52" ht="17.3" customHeight="1" spans="1:16">
      <c r="A52" s="79" t="s">
        <v>93</v>
      </c>
      <c r="B52" s="72">
        <v>2700</v>
      </c>
      <c r="C52" s="72">
        <v>2700</v>
      </c>
      <c r="D52" s="72">
        <v>3000</v>
      </c>
      <c r="E52" s="72">
        <v>2700</v>
      </c>
      <c r="F52" s="72">
        <v>2700</v>
      </c>
      <c r="G52" s="68">
        <f t="shared" ref="G52:G55" si="28">F52-E52</f>
        <v>0</v>
      </c>
      <c r="H52" s="69">
        <f t="shared" ref="H52:H55" si="29">F52/E52</f>
        <v>1</v>
      </c>
      <c r="I52" s="121" t="s">
        <v>209</v>
      </c>
      <c r="J52" s="72"/>
      <c r="K52" s="72"/>
      <c r="L52" s="72"/>
      <c r="M52" s="72"/>
      <c r="N52" s="72"/>
      <c r="O52" s="72"/>
      <c r="P52" s="93"/>
    </row>
    <row r="53" ht="29" customHeight="1" spans="1:16">
      <c r="A53" s="79" t="s">
        <v>94</v>
      </c>
      <c r="B53" s="72">
        <v>12696</v>
      </c>
      <c r="C53" s="72">
        <v>12696</v>
      </c>
      <c r="D53" s="72">
        <v>15159</v>
      </c>
      <c r="E53" s="72">
        <v>13622</v>
      </c>
      <c r="F53" s="72">
        <v>13622</v>
      </c>
      <c r="G53" s="68">
        <f t="shared" si="28"/>
        <v>0</v>
      </c>
      <c r="H53" s="69">
        <f t="shared" si="29"/>
        <v>1</v>
      </c>
      <c r="I53" s="121" t="s">
        <v>210</v>
      </c>
      <c r="J53" s="72">
        <v>9096</v>
      </c>
      <c r="K53" s="72">
        <v>9096</v>
      </c>
      <c r="L53" s="72">
        <v>10420</v>
      </c>
      <c r="M53" s="72">
        <f>3900+4001</f>
        <v>7901</v>
      </c>
      <c r="N53" s="72">
        <f>3900+4001</f>
        <v>7901</v>
      </c>
      <c r="O53" s="68">
        <f t="shared" si="26"/>
        <v>0</v>
      </c>
      <c r="P53" s="69">
        <f t="shared" si="27"/>
        <v>1</v>
      </c>
    </row>
    <row r="54" ht="17.3" customHeight="1" spans="1:16">
      <c r="A54" s="79" t="s">
        <v>95</v>
      </c>
      <c r="B54" s="72">
        <v>144614</v>
      </c>
      <c r="C54" s="72">
        <v>144614</v>
      </c>
      <c r="D54" s="72">
        <v>144613</v>
      </c>
      <c r="E54" s="72">
        <v>144613</v>
      </c>
      <c r="F54" s="72">
        <v>144613</v>
      </c>
      <c r="G54" s="68">
        <f t="shared" si="28"/>
        <v>0</v>
      </c>
      <c r="H54" s="69">
        <f t="shared" si="29"/>
        <v>1</v>
      </c>
      <c r="I54" s="121" t="s">
        <v>211</v>
      </c>
      <c r="J54" s="72">
        <v>33217</v>
      </c>
      <c r="K54" s="72">
        <v>33217</v>
      </c>
      <c r="L54" s="72">
        <v>82245</v>
      </c>
      <c r="M54" s="72">
        <f>33620+5905</f>
        <v>39525</v>
      </c>
      <c r="N54" s="72">
        <f>33620+5905</f>
        <v>39525</v>
      </c>
      <c r="O54" s="68">
        <f t="shared" si="26"/>
        <v>0</v>
      </c>
      <c r="P54" s="69">
        <f t="shared" si="27"/>
        <v>1</v>
      </c>
    </row>
    <row r="55" ht="17.3" customHeight="1" spans="1:16">
      <c r="A55" s="79" t="s">
        <v>96</v>
      </c>
      <c r="B55" s="72">
        <v>791</v>
      </c>
      <c r="C55" s="72">
        <v>791</v>
      </c>
      <c r="D55" s="72">
        <v>884</v>
      </c>
      <c r="E55" s="72">
        <v>717</v>
      </c>
      <c r="F55" s="72">
        <v>717</v>
      </c>
      <c r="G55" s="68">
        <f t="shared" si="28"/>
        <v>0</v>
      </c>
      <c r="H55" s="69">
        <f t="shared" si="29"/>
        <v>1</v>
      </c>
      <c r="I55" s="121" t="s">
        <v>212</v>
      </c>
      <c r="J55" s="72"/>
      <c r="K55" s="72"/>
      <c r="L55" s="72"/>
      <c r="M55" s="72"/>
      <c r="N55" s="72"/>
      <c r="O55" s="72"/>
      <c r="P55" s="93"/>
    </row>
    <row r="56" ht="17.3" customHeight="1" spans="1:16">
      <c r="A56" s="79" t="s">
        <v>97</v>
      </c>
      <c r="B56" s="72"/>
      <c r="C56" s="72"/>
      <c r="D56" s="72"/>
      <c r="E56" s="72"/>
      <c r="F56" s="72"/>
      <c r="G56" s="117"/>
      <c r="H56" s="110"/>
      <c r="I56" s="121" t="s">
        <v>213</v>
      </c>
      <c r="J56" s="72"/>
      <c r="K56" s="72"/>
      <c r="L56" s="72"/>
      <c r="M56" s="72"/>
      <c r="N56" s="72"/>
      <c r="O56" s="72"/>
      <c r="P56" s="93"/>
    </row>
    <row r="57" ht="17.3" customHeight="1" spans="1:16">
      <c r="A57" s="79" t="s">
        <v>98</v>
      </c>
      <c r="B57" s="72">
        <v>6236</v>
      </c>
      <c r="C57" s="72">
        <v>6236</v>
      </c>
      <c r="D57" s="72">
        <v>7035</v>
      </c>
      <c r="E57" s="72">
        <v>5640</v>
      </c>
      <c r="F57" s="72">
        <v>5640</v>
      </c>
      <c r="G57" s="68">
        <f t="shared" ref="G57:G59" si="30">F57-E57</f>
        <v>0</v>
      </c>
      <c r="H57" s="69">
        <f t="shared" ref="H57:H59" si="31">F57/E57</f>
        <v>1</v>
      </c>
      <c r="I57" s="121" t="s">
        <v>214</v>
      </c>
      <c r="J57" s="72"/>
      <c r="K57" s="72"/>
      <c r="L57" s="72"/>
      <c r="M57" s="72"/>
      <c r="N57" s="72"/>
      <c r="O57" s="72"/>
      <c r="P57" s="93"/>
    </row>
    <row r="58" ht="29" customHeight="1" spans="1:16">
      <c r="A58" s="79" t="s">
        <v>99</v>
      </c>
      <c r="B58" s="72">
        <v>9074</v>
      </c>
      <c r="C58" s="72">
        <v>9074</v>
      </c>
      <c r="D58" s="72">
        <v>10932</v>
      </c>
      <c r="E58" s="72">
        <v>7171</v>
      </c>
      <c r="F58" s="72">
        <v>7171</v>
      </c>
      <c r="G58" s="68">
        <f t="shared" si="30"/>
        <v>0</v>
      </c>
      <c r="H58" s="69">
        <f t="shared" si="31"/>
        <v>1</v>
      </c>
      <c r="I58" s="121" t="s">
        <v>215</v>
      </c>
      <c r="J58" s="72"/>
      <c r="K58" s="72"/>
      <c r="L58" s="72">
        <v>2218</v>
      </c>
      <c r="M58" s="72"/>
      <c r="N58" s="72"/>
      <c r="O58" s="72"/>
      <c r="P58" s="93"/>
    </row>
    <row r="59" ht="17.5" customHeight="1" spans="1:16">
      <c r="A59" s="79" t="s">
        <v>100</v>
      </c>
      <c r="B59" s="72">
        <v>128760</v>
      </c>
      <c r="C59" s="72">
        <v>128760</v>
      </c>
      <c r="D59" s="72">
        <v>191353</v>
      </c>
      <c r="E59" s="72">
        <v>135422</v>
      </c>
      <c r="F59" s="72">
        <v>135422</v>
      </c>
      <c r="G59" s="68">
        <f t="shared" si="30"/>
        <v>0</v>
      </c>
      <c r="H59" s="69">
        <f t="shared" si="31"/>
        <v>1</v>
      </c>
      <c r="I59" s="121" t="s">
        <v>216</v>
      </c>
      <c r="J59" s="72">
        <v>35332</v>
      </c>
      <c r="K59" s="72">
        <v>35332</v>
      </c>
      <c r="L59" s="72">
        <v>101699</v>
      </c>
      <c r="M59" s="72">
        <f>57301+4115</f>
        <v>61416</v>
      </c>
      <c r="N59" s="72">
        <f>57301+4115</f>
        <v>61416</v>
      </c>
      <c r="O59" s="68">
        <f t="shared" ref="O59:O62" si="32">N59-M59</f>
        <v>0</v>
      </c>
      <c r="P59" s="69">
        <f t="shared" ref="P59:P62" si="33">N59/M59</f>
        <v>1</v>
      </c>
    </row>
    <row r="60" ht="17.5" customHeight="1" spans="1:16">
      <c r="A60" s="79" t="s">
        <v>101</v>
      </c>
      <c r="B60" s="72"/>
      <c r="C60" s="72"/>
      <c r="D60" s="72"/>
      <c r="E60" s="72"/>
      <c r="F60" s="72"/>
      <c r="G60" s="117"/>
      <c r="H60" s="110"/>
      <c r="I60" s="79" t="s">
        <v>217</v>
      </c>
      <c r="J60" s="72">
        <f t="shared" ref="J60:N60" si="34">SUM(J61:J62)</f>
        <v>325050</v>
      </c>
      <c r="K60" s="72">
        <f t="shared" si="34"/>
        <v>325050</v>
      </c>
      <c r="L60" s="72">
        <f>L61+L62</f>
        <v>353803</v>
      </c>
      <c r="M60" s="72">
        <f t="shared" si="34"/>
        <v>325466</v>
      </c>
      <c r="N60" s="72">
        <f t="shared" si="34"/>
        <v>325466</v>
      </c>
      <c r="O60" s="68">
        <f t="shared" si="32"/>
        <v>0</v>
      </c>
      <c r="P60" s="69">
        <f t="shared" si="33"/>
        <v>1</v>
      </c>
    </row>
    <row r="61" ht="17.5" customHeight="1" spans="1:16">
      <c r="A61" s="79" t="s">
        <v>102</v>
      </c>
      <c r="B61" s="72"/>
      <c r="C61" s="72"/>
      <c r="D61" s="72"/>
      <c r="E61" s="72"/>
      <c r="F61" s="72"/>
      <c r="G61" s="117"/>
      <c r="H61" s="110"/>
      <c r="I61" s="75" t="s">
        <v>218</v>
      </c>
      <c r="J61" s="72">
        <v>292509</v>
      </c>
      <c r="K61" s="72">
        <v>292509</v>
      </c>
      <c r="L61" s="72">
        <v>292509</v>
      </c>
      <c r="M61" s="72">
        <v>292509</v>
      </c>
      <c r="N61" s="72">
        <v>292509</v>
      </c>
      <c r="O61" s="68">
        <f t="shared" si="32"/>
        <v>0</v>
      </c>
      <c r="P61" s="69">
        <f t="shared" si="33"/>
        <v>1</v>
      </c>
    </row>
    <row r="62" ht="17.5" customHeight="1" spans="1:16">
      <c r="A62" s="79" t="s">
        <v>103</v>
      </c>
      <c r="B62" s="72"/>
      <c r="C62" s="72"/>
      <c r="D62" s="72"/>
      <c r="E62" s="72"/>
      <c r="F62" s="72"/>
      <c r="G62" s="117"/>
      <c r="H62" s="110"/>
      <c r="I62" s="75" t="s">
        <v>219</v>
      </c>
      <c r="J62" s="72">
        <f>373737-292509-48687</f>
        <v>32541</v>
      </c>
      <c r="K62" s="72">
        <f>373737-292509-48687</f>
        <v>32541</v>
      </c>
      <c r="L62" s="72">
        <f>32541+16590+8063+4100</f>
        <v>61294</v>
      </c>
      <c r="M62" s="72">
        <f>32957</f>
        <v>32957</v>
      </c>
      <c r="N62" s="72">
        <f>32957</f>
        <v>32957</v>
      </c>
      <c r="O62" s="68">
        <f t="shared" si="32"/>
        <v>0</v>
      </c>
      <c r="P62" s="69">
        <f t="shared" si="33"/>
        <v>1</v>
      </c>
    </row>
    <row r="63" ht="17.5" customHeight="1" spans="1:16">
      <c r="A63" s="79" t="s">
        <v>104</v>
      </c>
      <c r="B63" s="72"/>
      <c r="C63" s="72"/>
      <c r="D63" s="72"/>
      <c r="E63" s="72"/>
      <c r="F63" s="72"/>
      <c r="G63" s="117"/>
      <c r="H63" s="110"/>
      <c r="I63" s="79" t="s">
        <v>220</v>
      </c>
      <c r="J63" s="72"/>
      <c r="K63" s="72"/>
      <c r="L63" s="72"/>
      <c r="M63" s="72"/>
      <c r="N63" s="72"/>
      <c r="O63" s="72"/>
      <c r="P63" s="93"/>
    </row>
    <row r="64" ht="17.5" customHeight="1" spans="1:16">
      <c r="A64" s="79" t="s">
        <v>105</v>
      </c>
      <c r="B64" s="72">
        <v>121955</v>
      </c>
      <c r="C64" s="72">
        <v>121955</v>
      </c>
      <c r="D64" s="72">
        <v>237674</v>
      </c>
      <c r="E64" s="72">
        <v>38763</v>
      </c>
      <c r="F64" s="72">
        <v>38763</v>
      </c>
      <c r="G64" s="68">
        <f t="shared" ref="G64:G71" si="35">F64-E64</f>
        <v>0</v>
      </c>
      <c r="H64" s="69">
        <f t="shared" ref="H64:H71" si="36">F64/E64</f>
        <v>1</v>
      </c>
      <c r="I64" s="79" t="s">
        <v>221</v>
      </c>
      <c r="J64" s="72"/>
      <c r="K64" s="72"/>
      <c r="L64" s="72"/>
      <c r="M64" s="72"/>
      <c r="N64" s="72"/>
      <c r="O64" s="72"/>
      <c r="P64" s="93"/>
    </row>
    <row r="65" ht="17.5" customHeight="1" spans="1:16">
      <c r="A65" s="79" t="s">
        <v>222</v>
      </c>
      <c r="B65" s="72">
        <f t="shared" ref="B65:F65" si="37">SUM(B66:B67)</f>
        <v>140000</v>
      </c>
      <c r="C65" s="72">
        <f t="shared" si="37"/>
        <v>140000</v>
      </c>
      <c r="D65" s="72">
        <f t="shared" si="37"/>
        <v>112416</v>
      </c>
      <c r="E65" s="72">
        <f t="shared" si="37"/>
        <v>147000</v>
      </c>
      <c r="F65" s="72">
        <f t="shared" si="37"/>
        <v>147000</v>
      </c>
      <c r="G65" s="68">
        <f t="shared" si="35"/>
        <v>0</v>
      </c>
      <c r="H65" s="69">
        <f t="shared" si="36"/>
        <v>1</v>
      </c>
      <c r="I65" s="79" t="s">
        <v>223</v>
      </c>
      <c r="J65" s="72">
        <v>30000</v>
      </c>
      <c r="K65" s="72">
        <v>30000</v>
      </c>
      <c r="L65" s="72">
        <f>115000+25978</f>
        <v>140978</v>
      </c>
      <c r="M65" s="72"/>
      <c r="N65" s="72"/>
      <c r="O65" s="72"/>
      <c r="P65" s="93"/>
    </row>
    <row r="66" ht="17.5" customHeight="1" spans="1:16">
      <c r="A66" s="79" t="s">
        <v>224</v>
      </c>
      <c r="B66" s="72">
        <v>110000</v>
      </c>
      <c r="C66" s="72">
        <v>110000</v>
      </c>
      <c r="D66" s="72">
        <v>110000</v>
      </c>
      <c r="E66" s="72">
        <v>117000</v>
      </c>
      <c r="F66" s="72">
        <v>117000</v>
      </c>
      <c r="G66" s="68">
        <f t="shared" si="35"/>
        <v>0</v>
      </c>
      <c r="H66" s="69">
        <f t="shared" si="36"/>
        <v>1</v>
      </c>
      <c r="I66" s="79" t="s">
        <v>225</v>
      </c>
      <c r="J66" s="72"/>
      <c r="K66" s="72">
        <f t="shared" ref="K66:N66" si="38">K67+K68</f>
        <v>40998</v>
      </c>
      <c r="L66" s="72">
        <f t="shared" si="38"/>
        <v>40998</v>
      </c>
      <c r="M66" s="72">
        <f t="shared" si="38"/>
        <v>39625</v>
      </c>
      <c r="N66" s="72">
        <f t="shared" si="38"/>
        <v>59525</v>
      </c>
      <c r="O66" s="68">
        <f t="shared" ref="O66:O69" si="39">N66-M66</f>
        <v>19900</v>
      </c>
      <c r="P66" s="69">
        <f t="shared" ref="P66:P69" si="40">N66/M66</f>
        <v>1.50220820189274</v>
      </c>
    </row>
    <row r="67" ht="17.5" customHeight="1" spans="1:16">
      <c r="A67" s="79" t="s">
        <v>226</v>
      </c>
      <c r="B67" s="72">
        <v>30000</v>
      </c>
      <c r="C67" s="72">
        <v>30000</v>
      </c>
      <c r="D67" s="72">
        <f>416+2000</f>
        <v>2416</v>
      </c>
      <c r="E67" s="72">
        <v>30000</v>
      </c>
      <c r="F67" s="72">
        <v>30000</v>
      </c>
      <c r="G67" s="68">
        <f t="shared" si="35"/>
        <v>0</v>
      </c>
      <c r="H67" s="69">
        <f t="shared" si="36"/>
        <v>1</v>
      </c>
      <c r="I67" s="122" t="s">
        <v>227</v>
      </c>
      <c r="J67" s="72"/>
      <c r="K67" s="72">
        <f>46400-2500-2902</f>
        <v>40998</v>
      </c>
      <c r="L67" s="72">
        <f>46400-2500-2902</f>
        <v>40998</v>
      </c>
      <c r="M67" s="72">
        <v>39625</v>
      </c>
      <c r="N67" s="72">
        <f>39625+19900</f>
        <v>59525</v>
      </c>
      <c r="O67" s="68">
        <f t="shared" si="39"/>
        <v>19900</v>
      </c>
      <c r="P67" s="69">
        <f t="shared" si="40"/>
        <v>1.50220820189274</v>
      </c>
    </row>
    <row r="68" ht="17.5" customHeight="1" spans="1:16">
      <c r="A68" s="79" t="s">
        <v>228</v>
      </c>
      <c r="B68" s="72">
        <v>278610</v>
      </c>
      <c r="C68" s="72">
        <v>278610</v>
      </c>
      <c r="D68" s="72">
        <f>270637+7972</f>
        <v>278609</v>
      </c>
      <c r="E68" s="72">
        <v>172299</v>
      </c>
      <c r="F68" s="72">
        <v>172299</v>
      </c>
      <c r="G68" s="68">
        <f t="shared" si="35"/>
        <v>0</v>
      </c>
      <c r="H68" s="69">
        <f t="shared" si="36"/>
        <v>1</v>
      </c>
      <c r="I68" s="122" t="s">
        <v>229</v>
      </c>
      <c r="J68" s="72"/>
      <c r="K68" s="72"/>
      <c r="L68" s="72"/>
      <c r="M68" s="72">
        <v>0</v>
      </c>
      <c r="N68" s="72">
        <v>0</v>
      </c>
      <c r="O68" s="72"/>
      <c r="P68" s="93"/>
    </row>
    <row r="69" ht="17.5" customHeight="1" spans="1:16">
      <c r="A69" s="79" t="s">
        <v>230</v>
      </c>
      <c r="B69" s="72">
        <f>2045+65000</f>
        <v>67045</v>
      </c>
      <c r="C69" s="72">
        <f>2045+65000</f>
        <v>67045</v>
      </c>
      <c r="D69" s="72">
        <f>100000+2452</f>
        <v>102452</v>
      </c>
      <c r="E69" s="72">
        <f>45000+2524</f>
        <v>47524</v>
      </c>
      <c r="F69" s="72">
        <f>45000+2524</f>
        <v>47524</v>
      </c>
      <c r="G69" s="68">
        <f t="shared" si="35"/>
        <v>0</v>
      </c>
      <c r="H69" s="69">
        <f t="shared" si="36"/>
        <v>1</v>
      </c>
      <c r="I69" s="79" t="s">
        <v>231</v>
      </c>
      <c r="J69" s="72"/>
      <c r="K69" s="72"/>
      <c r="L69" s="72">
        <v>172299</v>
      </c>
      <c r="M69" s="72">
        <v>13183</v>
      </c>
      <c r="N69" s="72">
        <v>13183</v>
      </c>
      <c r="O69" s="68">
        <f t="shared" si="39"/>
        <v>0</v>
      </c>
      <c r="P69" s="69">
        <f t="shared" si="40"/>
        <v>1</v>
      </c>
    </row>
    <row r="70" ht="17.5" customHeight="1" spans="1:16">
      <c r="A70" s="79" t="s">
        <v>232</v>
      </c>
      <c r="B70" s="72">
        <v>36233</v>
      </c>
      <c r="C70" s="72">
        <v>36233</v>
      </c>
      <c r="D70" s="72">
        <v>25556</v>
      </c>
      <c r="E70" s="72">
        <f>115000+25978</f>
        <v>140978</v>
      </c>
      <c r="F70" s="72">
        <f>115000+25978</f>
        <v>140978</v>
      </c>
      <c r="G70" s="68">
        <f t="shared" si="35"/>
        <v>0</v>
      </c>
      <c r="H70" s="69">
        <f t="shared" si="36"/>
        <v>1</v>
      </c>
      <c r="I70" s="75"/>
      <c r="J70" s="72"/>
      <c r="K70" s="73"/>
      <c r="L70" s="72"/>
      <c r="M70" s="72"/>
      <c r="N70" s="72"/>
      <c r="O70" s="72"/>
      <c r="P70" s="93"/>
    </row>
    <row r="71" ht="17.5" customHeight="1" spans="1:16">
      <c r="A71" s="108" t="s">
        <v>109</v>
      </c>
      <c r="B71" s="72">
        <f t="shared" ref="B71:F71" si="41">B7+B34+B39</f>
        <v>2526145</v>
      </c>
      <c r="C71" s="73">
        <f t="shared" si="41"/>
        <v>2572545</v>
      </c>
      <c r="D71" s="72">
        <f t="shared" si="41"/>
        <v>2854821</v>
      </c>
      <c r="E71" s="72">
        <f t="shared" si="41"/>
        <v>2403725</v>
      </c>
      <c r="F71" s="72">
        <f t="shared" si="41"/>
        <v>2416725</v>
      </c>
      <c r="G71" s="68">
        <f t="shared" si="35"/>
        <v>13000</v>
      </c>
      <c r="H71" s="69">
        <f t="shared" si="36"/>
        <v>1.00540827257694</v>
      </c>
      <c r="I71" s="108" t="s">
        <v>110</v>
      </c>
      <c r="J71" s="72">
        <f t="shared" ref="J71:N71" si="42">J7+J32+J34+J39</f>
        <v>2526145</v>
      </c>
      <c r="K71" s="73">
        <f t="shared" si="42"/>
        <v>2572545</v>
      </c>
      <c r="L71" s="72">
        <f t="shared" si="42"/>
        <v>2854821</v>
      </c>
      <c r="M71" s="72">
        <f t="shared" si="42"/>
        <v>2403725</v>
      </c>
      <c r="N71" s="72">
        <f t="shared" si="42"/>
        <v>2416725</v>
      </c>
      <c r="O71" s="68">
        <f>N71-M71</f>
        <v>13000</v>
      </c>
      <c r="P71" s="69">
        <f>N71/M71</f>
        <v>1.00540827257694</v>
      </c>
    </row>
    <row r="72" spans="10:14">
      <c r="J72" s="48"/>
      <c r="L72" s="48"/>
      <c r="M72" s="48"/>
      <c r="N72" s="48"/>
    </row>
  </sheetData>
  <mergeCells count="20">
    <mergeCell ref="A2:P2"/>
    <mergeCell ref="O3:P3"/>
    <mergeCell ref="A4:H4"/>
    <mergeCell ref="I4:P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s>
  <printOptions horizontalCentered="1"/>
  <pageMargins left="0.550694444444444" right="0.550694444444444" top="0.511805555555556" bottom="0.590277777777778" header="0.393055555555556" footer="0.275"/>
  <pageSetup paperSize="8" scale="95" firstPageNumber="5" fitToHeight="0" orientation="landscape" useFirstPageNumber="1" horizontalDpi="600"/>
  <headerFooter>
    <oddFooter>&amp;C&amp;18— &amp;P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8"/>
  <sheetViews>
    <sheetView tabSelected="1" view="pageBreakPreview" zoomScale="85" zoomScaleNormal="100" zoomScaleSheetLayoutView="85" workbookViewId="0">
      <pane xSplit="1" ySplit="6" topLeftCell="B7" activePane="bottomRight" state="frozen"/>
      <selection/>
      <selection pane="topRight"/>
      <selection pane="bottomLeft"/>
      <selection pane="bottomRight" activeCell="A2" sqref="A2:P2"/>
    </sheetView>
  </sheetViews>
  <sheetFormatPr defaultColWidth="8" defaultRowHeight="13.5"/>
  <cols>
    <col min="1" max="1" width="43.125" style="46" customWidth="1"/>
    <col min="2" max="6" width="10.2916666666667" style="47" customWidth="1"/>
    <col min="7" max="7" width="8.23333333333333" style="48" customWidth="1"/>
    <col min="8" max="8" width="7.425" style="47" customWidth="1"/>
    <col min="9" max="9" width="48.625" style="46" customWidth="1"/>
    <col min="10" max="14" width="10.2916666666667" style="47" customWidth="1"/>
    <col min="15" max="15" width="8.23333333333333" style="48" customWidth="1"/>
    <col min="16" max="16" width="7.425" style="49" customWidth="1"/>
    <col min="17" max="17" width="12.6333333333333" style="47"/>
    <col min="18" max="16377" width="8" style="47"/>
    <col min="16378" max="16382" width="8" style="50"/>
    <col min="16383" max="16384" width="8" style="32"/>
  </cols>
  <sheetData>
    <row r="1" ht="16" customHeight="1" spans="1:1">
      <c r="A1" s="51" t="s">
        <v>0</v>
      </c>
    </row>
    <row r="2" ht="25" customHeight="1" spans="1:16">
      <c r="A2" s="52" t="s">
        <v>233</v>
      </c>
      <c r="B2" s="53"/>
      <c r="C2" s="53"/>
      <c r="D2" s="53"/>
      <c r="E2" s="53"/>
      <c r="F2" s="53"/>
      <c r="G2" s="54"/>
      <c r="H2" s="53"/>
      <c r="I2" s="52"/>
      <c r="J2" s="53"/>
      <c r="K2" s="53"/>
      <c r="L2" s="53"/>
      <c r="M2" s="53"/>
      <c r="N2" s="53"/>
      <c r="O2" s="54"/>
      <c r="P2" s="86"/>
    </row>
    <row r="3" s="44" customFormat="1" ht="16" customHeight="1" spans="1:16">
      <c r="A3" s="55"/>
      <c r="G3" s="56"/>
      <c r="I3" s="55"/>
      <c r="M3" s="87" t="s">
        <v>2</v>
      </c>
      <c r="N3" s="87"/>
      <c r="O3" s="88"/>
      <c r="P3" s="89"/>
    </row>
    <row r="4" s="45" customFormat="1" ht="17" customHeight="1" spans="1:16">
      <c r="A4" s="57" t="s">
        <v>3</v>
      </c>
      <c r="B4" s="58"/>
      <c r="C4" s="58"/>
      <c r="D4" s="58"/>
      <c r="E4" s="58"/>
      <c r="F4" s="58"/>
      <c r="G4" s="59"/>
      <c r="H4" s="58"/>
      <c r="I4" s="57" t="s">
        <v>4</v>
      </c>
      <c r="J4" s="58"/>
      <c r="K4" s="58"/>
      <c r="L4" s="58"/>
      <c r="M4" s="58"/>
      <c r="N4" s="58"/>
      <c r="O4" s="59"/>
      <c r="P4" s="90"/>
    </row>
    <row r="5" s="45" customFormat="1" ht="26" customHeight="1" spans="1:16">
      <c r="A5" s="60" t="s">
        <v>5</v>
      </c>
      <c r="B5" s="57" t="s">
        <v>6</v>
      </c>
      <c r="C5" s="57" t="s">
        <v>7</v>
      </c>
      <c r="D5" s="57" t="s">
        <v>8</v>
      </c>
      <c r="E5" s="57" t="s">
        <v>9</v>
      </c>
      <c r="F5" s="57" t="s">
        <v>10</v>
      </c>
      <c r="G5" s="61" t="s">
        <v>11</v>
      </c>
      <c r="H5" s="57" t="s">
        <v>12</v>
      </c>
      <c r="I5" s="91" t="s">
        <v>13</v>
      </c>
      <c r="J5" s="57" t="s">
        <v>6</v>
      </c>
      <c r="K5" s="57" t="s">
        <v>7</v>
      </c>
      <c r="L5" s="57" t="s">
        <v>8</v>
      </c>
      <c r="M5" s="57" t="s">
        <v>9</v>
      </c>
      <c r="N5" s="57" t="s">
        <v>10</v>
      </c>
      <c r="O5" s="61" t="s">
        <v>11</v>
      </c>
      <c r="P5" s="57" t="s">
        <v>12</v>
      </c>
    </row>
    <row r="6" s="45" customFormat="1" ht="26" customHeight="1" spans="1:16">
      <c r="A6" s="60"/>
      <c r="B6" s="57"/>
      <c r="C6" s="57"/>
      <c r="D6" s="57"/>
      <c r="E6" s="57"/>
      <c r="F6" s="57"/>
      <c r="G6" s="61"/>
      <c r="H6" s="57"/>
      <c r="I6" s="91"/>
      <c r="J6" s="57"/>
      <c r="K6" s="57"/>
      <c r="L6" s="57"/>
      <c r="M6" s="57"/>
      <c r="N6" s="57"/>
      <c r="O6" s="61"/>
      <c r="P6" s="57"/>
    </row>
    <row r="7" s="45" customFormat="1" ht="17" customHeight="1" spans="1:16">
      <c r="A7" s="62" t="s">
        <v>112</v>
      </c>
      <c r="B7" s="63">
        <f t="shared" ref="B7:F7" si="0">SUM(B8:B21)</f>
        <v>1700000</v>
      </c>
      <c r="C7" s="64">
        <f t="shared" si="0"/>
        <v>1700000</v>
      </c>
      <c r="D7" s="63">
        <f t="shared" si="0"/>
        <v>1386900</v>
      </c>
      <c r="E7" s="63">
        <f t="shared" si="0"/>
        <v>1500000</v>
      </c>
      <c r="F7" s="63">
        <f t="shared" si="0"/>
        <v>1500800</v>
      </c>
      <c r="G7" s="64">
        <f t="shared" ref="G7:G12" si="1">F7-E7</f>
        <v>800</v>
      </c>
      <c r="H7" s="65">
        <f t="shared" ref="H7:H12" si="2">F7/E7</f>
        <v>1.00053333333333</v>
      </c>
      <c r="I7" s="62" t="s">
        <v>113</v>
      </c>
      <c r="J7" s="64">
        <f t="shared" ref="J7:L7" si="3">J8+J11+J24+J30+J39+J44+J51+J35+J37</f>
        <v>2013596</v>
      </c>
      <c r="K7" s="64">
        <f t="shared" si="3"/>
        <v>1895919</v>
      </c>
      <c r="L7" s="64">
        <f t="shared" si="3"/>
        <v>1567912</v>
      </c>
      <c r="M7" s="64">
        <f>M8+M11+M24+M30+M39+M44+M51+M35+M37+M22</f>
        <v>1826352</v>
      </c>
      <c r="N7" s="64">
        <f>N8+N11+N24+N30+N39+N44+N51+N35+N37+N22</f>
        <v>1895160</v>
      </c>
      <c r="O7" s="64">
        <f t="shared" ref="O7:O16" si="4">N7-M7</f>
        <v>68808</v>
      </c>
      <c r="P7" s="65">
        <f t="shared" ref="P7:P16" si="5">N7/M7</f>
        <v>1.03767510315646</v>
      </c>
    </row>
    <row r="8" ht="16" customHeight="1" spans="1:16">
      <c r="A8" s="66" t="s">
        <v>114</v>
      </c>
      <c r="B8" s="67"/>
      <c r="C8" s="67"/>
      <c r="D8" s="67"/>
      <c r="E8" s="67"/>
      <c r="F8" s="67"/>
      <c r="G8" s="68"/>
      <c r="H8" s="69"/>
      <c r="I8" s="92" t="s">
        <v>115</v>
      </c>
      <c r="J8" s="73">
        <f t="shared" ref="J8:N8" si="6">J9+J10</f>
        <v>78</v>
      </c>
      <c r="K8" s="73">
        <f t="shared" si="6"/>
        <v>78</v>
      </c>
      <c r="L8" s="72">
        <f>SUM(L9:L10)</f>
        <v>69</v>
      </c>
      <c r="M8" s="72">
        <f t="shared" si="6"/>
        <v>164</v>
      </c>
      <c r="N8" s="72">
        <f t="shared" si="6"/>
        <v>164</v>
      </c>
      <c r="O8" s="72"/>
      <c r="P8" s="93"/>
    </row>
    <row r="9" ht="16" customHeight="1" spans="1:16">
      <c r="A9" s="70" t="s">
        <v>116</v>
      </c>
      <c r="B9" s="67"/>
      <c r="C9" s="67"/>
      <c r="D9" s="67"/>
      <c r="E9" s="67"/>
      <c r="F9" s="67"/>
      <c r="G9" s="68"/>
      <c r="H9" s="71"/>
      <c r="I9" s="92" t="s">
        <v>117</v>
      </c>
      <c r="J9" s="73"/>
      <c r="K9" s="73"/>
      <c r="L9" s="72"/>
      <c r="M9" s="72"/>
      <c r="N9" s="72"/>
      <c r="O9" s="72"/>
      <c r="P9" s="93"/>
    </row>
    <row r="10" ht="16" customHeight="1" spans="1:16">
      <c r="A10" s="66" t="s">
        <v>118</v>
      </c>
      <c r="B10" s="72">
        <v>63254</v>
      </c>
      <c r="C10" s="72">
        <v>63254</v>
      </c>
      <c r="D10" s="72">
        <v>57180</v>
      </c>
      <c r="E10" s="72">
        <f>1700000-1636164-10000</f>
        <v>53836</v>
      </c>
      <c r="F10" s="72">
        <f>1700000-1636164-10000</f>
        <v>53836</v>
      </c>
      <c r="G10" s="68">
        <f t="shared" si="1"/>
        <v>0</v>
      </c>
      <c r="H10" s="69">
        <f t="shared" si="2"/>
        <v>1</v>
      </c>
      <c r="I10" s="94" t="s">
        <v>119</v>
      </c>
      <c r="J10" s="73">
        <f>68+10</f>
        <v>78</v>
      </c>
      <c r="K10" s="73">
        <f>68+10</f>
        <v>78</v>
      </c>
      <c r="L10" s="72">
        <v>69</v>
      </c>
      <c r="M10" s="72">
        <v>164</v>
      </c>
      <c r="N10" s="72">
        <v>164</v>
      </c>
      <c r="O10" s="72"/>
      <c r="P10" s="93"/>
    </row>
    <row r="11" ht="16" customHeight="1" spans="1:16">
      <c r="A11" s="66" t="s">
        <v>120</v>
      </c>
      <c r="B11" s="72">
        <v>977</v>
      </c>
      <c r="C11" s="72">
        <v>977</v>
      </c>
      <c r="D11" s="72">
        <v>1736</v>
      </c>
      <c r="E11" s="72">
        <v>1300</v>
      </c>
      <c r="F11" s="72">
        <v>1300</v>
      </c>
      <c r="G11" s="68">
        <f t="shared" si="1"/>
        <v>0</v>
      </c>
      <c r="H11" s="69">
        <f t="shared" si="2"/>
        <v>1</v>
      </c>
      <c r="I11" s="92" t="s">
        <v>121</v>
      </c>
      <c r="J11" s="73">
        <f t="shared" ref="J11:N11" si="7">SUM(J12:J21)</f>
        <v>1375260</v>
      </c>
      <c r="K11" s="73">
        <f t="shared" si="7"/>
        <v>1375260</v>
      </c>
      <c r="L11" s="72">
        <f t="shared" si="7"/>
        <v>1037713</v>
      </c>
      <c r="M11" s="72">
        <f t="shared" si="7"/>
        <v>1224332</v>
      </c>
      <c r="N11" s="72">
        <f t="shared" si="7"/>
        <v>1224332</v>
      </c>
      <c r="O11" s="68">
        <f t="shared" si="4"/>
        <v>0</v>
      </c>
      <c r="P11" s="69">
        <f t="shared" si="5"/>
        <v>1</v>
      </c>
    </row>
    <row r="12" ht="16" customHeight="1" spans="1:16">
      <c r="A12" s="66" t="s">
        <v>122</v>
      </c>
      <c r="B12" s="72">
        <f>1559023+6540+1746</f>
        <v>1567309</v>
      </c>
      <c r="C12" s="72">
        <f>1559023+6540+1746</f>
        <v>1567309</v>
      </c>
      <c r="D12" s="72">
        <f>1278649+1</f>
        <v>1278650</v>
      </c>
      <c r="E12" s="72">
        <f>1589394-190000</f>
        <v>1399394</v>
      </c>
      <c r="F12" s="72">
        <f>1589394-190000</f>
        <v>1399394</v>
      </c>
      <c r="G12" s="68">
        <f t="shared" si="1"/>
        <v>0</v>
      </c>
      <c r="H12" s="69">
        <f t="shared" si="2"/>
        <v>1</v>
      </c>
      <c r="I12" s="92" t="s">
        <v>123</v>
      </c>
      <c r="J12" s="95">
        <f>1575+10524+1180742-8</f>
        <v>1192833</v>
      </c>
      <c r="K12" s="95">
        <f>1575+10524+1180742-8</f>
        <v>1192833</v>
      </c>
      <c r="L12" s="72">
        <f>925286</f>
        <v>925286</v>
      </c>
      <c r="M12" s="72">
        <f>1133897-7000-1-2000</f>
        <v>1124896</v>
      </c>
      <c r="N12" s="72">
        <f>1133897-7000-1-2000</f>
        <v>1124896</v>
      </c>
      <c r="O12" s="68">
        <f t="shared" si="4"/>
        <v>0</v>
      </c>
      <c r="P12" s="69">
        <f t="shared" si="5"/>
        <v>1</v>
      </c>
    </row>
    <row r="13" ht="16" customHeight="1" spans="1:16">
      <c r="A13" s="66" t="s">
        <v>124</v>
      </c>
      <c r="B13" s="72"/>
      <c r="C13" s="72"/>
      <c r="D13" s="72"/>
      <c r="E13" s="72"/>
      <c r="F13" s="72"/>
      <c r="G13" s="68"/>
      <c r="H13" s="71"/>
      <c r="I13" s="92" t="s">
        <v>125</v>
      </c>
      <c r="J13" s="95">
        <v>63254</v>
      </c>
      <c r="K13" s="95">
        <v>63254</v>
      </c>
      <c r="L13" s="72">
        <v>13126</v>
      </c>
      <c r="M13" s="72">
        <v>53836</v>
      </c>
      <c r="N13" s="72">
        <v>53836</v>
      </c>
      <c r="O13" s="68">
        <f t="shared" si="4"/>
        <v>0</v>
      </c>
      <c r="P13" s="69">
        <f t="shared" si="5"/>
        <v>1</v>
      </c>
    </row>
    <row r="14" ht="16" customHeight="1" spans="1:16">
      <c r="A14" s="66" t="s">
        <v>126</v>
      </c>
      <c r="B14" s="72">
        <v>1400</v>
      </c>
      <c r="C14" s="72">
        <v>1400</v>
      </c>
      <c r="D14" s="72">
        <f>1384+2086</f>
        <v>3470</v>
      </c>
      <c r="E14" s="72">
        <v>3400</v>
      </c>
      <c r="F14" s="72">
        <v>3400</v>
      </c>
      <c r="G14" s="68">
        <f>F14-E14</f>
        <v>0</v>
      </c>
      <c r="H14" s="69">
        <f t="shared" ref="H14:H19" si="8">F14/E14</f>
        <v>1</v>
      </c>
      <c r="I14" s="92" t="s">
        <v>127</v>
      </c>
      <c r="J14" s="95">
        <v>977</v>
      </c>
      <c r="K14" s="95">
        <v>977</v>
      </c>
      <c r="L14" s="72">
        <v>168</v>
      </c>
      <c r="M14" s="72">
        <v>1300</v>
      </c>
      <c r="N14" s="72">
        <v>1300</v>
      </c>
      <c r="O14" s="68">
        <f t="shared" si="4"/>
        <v>0</v>
      </c>
      <c r="P14" s="69">
        <f t="shared" si="5"/>
        <v>1</v>
      </c>
    </row>
    <row r="15" ht="16" customHeight="1" spans="1:16">
      <c r="A15" s="70" t="s">
        <v>128</v>
      </c>
      <c r="B15" s="72">
        <v>50000</v>
      </c>
      <c r="C15" s="72">
        <v>50000</v>
      </c>
      <c r="D15" s="72">
        <v>27298</v>
      </c>
      <c r="E15" s="72">
        <v>25000</v>
      </c>
      <c r="F15" s="72">
        <v>25000</v>
      </c>
      <c r="G15" s="68">
        <f t="shared" ref="G14:G19" si="9">F15-E15</f>
        <v>0</v>
      </c>
      <c r="H15" s="69">
        <f t="shared" si="8"/>
        <v>1</v>
      </c>
      <c r="I15" s="92" t="s">
        <v>129</v>
      </c>
      <c r="J15" s="95">
        <f>12+50000</f>
        <v>50012</v>
      </c>
      <c r="K15" s="95">
        <f>12+50000</f>
        <v>50012</v>
      </c>
      <c r="L15" s="72">
        <v>25709</v>
      </c>
      <c r="M15" s="72">
        <v>25000</v>
      </c>
      <c r="N15" s="72">
        <v>25000</v>
      </c>
      <c r="O15" s="68">
        <f t="shared" si="4"/>
        <v>0</v>
      </c>
      <c r="P15" s="69">
        <f t="shared" si="5"/>
        <v>1</v>
      </c>
    </row>
    <row r="16" ht="16" customHeight="1" spans="1:16">
      <c r="A16" s="66" t="s">
        <v>130</v>
      </c>
      <c r="B16" s="72"/>
      <c r="C16" s="72"/>
      <c r="D16" s="72"/>
      <c r="E16" s="72"/>
      <c r="F16" s="72"/>
      <c r="G16" s="68"/>
      <c r="H16" s="71"/>
      <c r="I16" s="92" t="s">
        <v>131</v>
      </c>
      <c r="J16" s="95">
        <v>17000</v>
      </c>
      <c r="K16" s="95">
        <v>17000</v>
      </c>
      <c r="L16" s="72">
        <v>17000</v>
      </c>
      <c r="M16" s="72">
        <v>17000</v>
      </c>
      <c r="N16" s="72">
        <v>17000</v>
      </c>
      <c r="O16" s="68">
        <f t="shared" si="4"/>
        <v>0</v>
      </c>
      <c r="P16" s="69">
        <f t="shared" si="5"/>
        <v>1</v>
      </c>
    </row>
    <row r="17" ht="16" customHeight="1" spans="1:16">
      <c r="A17" s="66" t="s">
        <v>132</v>
      </c>
      <c r="B17" s="72"/>
      <c r="C17" s="72"/>
      <c r="D17" s="72"/>
      <c r="E17" s="72"/>
      <c r="F17" s="72"/>
      <c r="G17" s="68"/>
      <c r="H17" s="71"/>
      <c r="I17" s="92" t="s">
        <v>133</v>
      </c>
      <c r="J17" s="95"/>
      <c r="K17" s="95"/>
      <c r="L17" s="72"/>
      <c r="M17" s="72"/>
      <c r="N17" s="72"/>
      <c r="O17" s="72"/>
      <c r="P17" s="93"/>
    </row>
    <row r="18" ht="16" customHeight="1" spans="1:16">
      <c r="A18" s="70" t="s">
        <v>134</v>
      </c>
      <c r="B18" s="72">
        <v>17000</v>
      </c>
      <c r="C18" s="72">
        <v>17000</v>
      </c>
      <c r="D18" s="72">
        <v>18233</v>
      </c>
      <c r="E18" s="72">
        <v>17000</v>
      </c>
      <c r="F18" s="72">
        <v>17000</v>
      </c>
      <c r="G18" s="68">
        <f t="shared" si="9"/>
        <v>0</v>
      </c>
      <c r="H18" s="69">
        <f t="shared" si="8"/>
        <v>1</v>
      </c>
      <c r="I18" s="92" t="s">
        <v>135</v>
      </c>
      <c r="J18" s="95">
        <v>6281</v>
      </c>
      <c r="K18" s="95">
        <v>6281</v>
      </c>
      <c r="L18" s="72">
        <v>6281</v>
      </c>
      <c r="M18" s="72"/>
      <c r="N18" s="72"/>
      <c r="O18" s="72"/>
      <c r="P18" s="93"/>
    </row>
    <row r="19" ht="29" customHeight="1" spans="1:16">
      <c r="A19" s="70" t="s">
        <v>136</v>
      </c>
      <c r="B19" s="72">
        <v>60</v>
      </c>
      <c r="C19" s="72">
        <v>60</v>
      </c>
      <c r="D19" s="72">
        <v>76</v>
      </c>
      <c r="E19" s="72">
        <v>70</v>
      </c>
      <c r="F19" s="72">
        <v>70</v>
      </c>
      <c r="G19" s="68">
        <f t="shared" si="9"/>
        <v>0</v>
      </c>
      <c r="H19" s="69">
        <f t="shared" si="8"/>
        <v>1</v>
      </c>
      <c r="I19" s="92" t="s">
        <v>137</v>
      </c>
      <c r="J19" s="73"/>
      <c r="K19" s="73"/>
      <c r="L19" s="72"/>
      <c r="M19" s="72"/>
      <c r="N19" s="72"/>
      <c r="O19" s="72"/>
      <c r="P19" s="93"/>
    </row>
    <row r="20" ht="29" customHeight="1" spans="1:16">
      <c r="A20" s="70" t="s">
        <v>138</v>
      </c>
      <c r="B20" s="72"/>
      <c r="C20" s="73"/>
      <c r="D20" s="73"/>
      <c r="E20" s="72"/>
      <c r="F20" s="72"/>
      <c r="G20" s="74"/>
      <c r="H20" s="72"/>
      <c r="I20" s="92" t="s">
        <v>139</v>
      </c>
      <c r="J20" s="73"/>
      <c r="K20" s="73"/>
      <c r="L20" s="72"/>
      <c r="M20" s="72"/>
      <c r="N20" s="72"/>
      <c r="O20" s="72"/>
      <c r="P20" s="93"/>
    </row>
    <row r="21" ht="16" customHeight="1" spans="1:16">
      <c r="A21" s="70" t="s">
        <v>140</v>
      </c>
      <c r="B21" s="72"/>
      <c r="C21" s="73"/>
      <c r="D21" s="73">
        <f t="shared" ref="D21:G21" si="10">D22</f>
        <v>257</v>
      </c>
      <c r="E21" s="72"/>
      <c r="F21" s="73">
        <f t="shared" si="10"/>
        <v>800</v>
      </c>
      <c r="G21" s="73">
        <f t="shared" si="10"/>
        <v>800</v>
      </c>
      <c r="H21" s="72"/>
      <c r="I21" s="92" t="s">
        <v>141</v>
      </c>
      <c r="J21" s="76">
        <v>44903</v>
      </c>
      <c r="K21" s="76">
        <v>44903</v>
      </c>
      <c r="L21" s="96">
        <f>50225-82</f>
        <v>50143</v>
      </c>
      <c r="M21" s="97">
        <v>2300</v>
      </c>
      <c r="N21" s="97">
        <v>2300</v>
      </c>
      <c r="O21" s="68">
        <f t="shared" ref="O21:O25" si="11">N21-M21</f>
        <v>0</v>
      </c>
      <c r="P21" s="69">
        <f t="shared" ref="P21:P25" si="12">N21/M21</f>
        <v>1</v>
      </c>
    </row>
    <row r="22" ht="30" customHeight="1" spans="1:16">
      <c r="A22" s="70" t="s">
        <v>142</v>
      </c>
      <c r="B22" s="73"/>
      <c r="C22" s="73"/>
      <c r="D22" s="73">
        <v>257</v>
      </c>
      <c r="E22" s="73"/>
      <c r="F22" s="73">
        <v>800</v>
      </c>
      <c r="G22" s="68">
        <f>F22-E22</f>
        <v>800</v>
      </c>
      <c r="H22" s="72"/>
      <c r="I22" s="92" t="s">
        <v>143</v>
      </c>
      <c r="J22" s="76"/>
      <c r="K22" s="76"/>
      <c r="L22" s="72"/>
      <c r="M22" s="97">
        <f>M23</f>
        <v>670</v>
      </c>
      <c r="N22" s="97">
        <f>N23</f>
        <v>670</v>
      </c>
      <c r="O22" s="68">
        <f t="shared" si="11"/>
        <v>0</v>
      </c>
      <c r="P22" s="69">
        <f t="shared" si="12"/>
        <v>1</v>
      </c>
    </row>
    <row r="23" ht="16" customHeight="1" spans="1:16">
      <c r="A23" s="70"/>
      <c r="B23" s="72"/>
      <c r="C23" s="73"/>
      <c r="D23" s="72"/>
      <c r="E23" s="72"/>
      <c r="F23" s="72"/>
      <c r="G23" s="74"/>
      <c r="H23" s="72"/>
      <c r="I23" s="92" t="s">
        <v>141</v>
      </c>
      <c r="J23" s="76"/>
      <c r="K23" s="76"/>
      <c r="L23" s="72"/>
      <c r="M23" s="97">
        <v>670</v>
      </c>
      <c r="N23" s="97">
        <v>670</v>
      </c>
      <c r="O23" s="68">
        <f t="shared" si="11"/>
        <v>0</v>
      </c>
      <c r="P23" s="69">
        <f t="shared" si="12"/>
        <v>1</v>
      </c>
    </row>
    <row r="24" ht="16" customHeight="1" spans="1:16">
      <c r="A24" s="75"/>
      <c r="B24" s="72"/>
      <c r="C24" s="76"/>
      <c r="D24" s="72"/>
      <c r="E24" s="72"/>
      <c r="F24" s="72"/>
      <c r="G24" s="72"/>
      <c r="H24" s="72"/>
      <c r="I24" s="92" t="s">
        <v>144</v>
      </c>
      <c r="J24" s="73">
        <f t="shared" ref="J24:N24" si="13">SUM(J25:J29)</f>
        <v>729</v>
      </c>
      <c r="K24" s="73">
        <f t="shared" si="13"/>
        <v>729</v>
      </c>
      <c r="L24" s="72">
        <f t="shared" si="13"/>
        <v>204</v>
      </c>
      <c r="M24" s="97">
        <f t="shared" si="13"/>
        <v>110</v>
      </c>
      <c r="N24" s="97">
        <f t="shared" si="13"/>
        <v>110</v>
      </c>
      <c r="O24" s="68">
        <f t="shared" si="11"/>
        <v>0</v>
      </c>
      <c r="P24" s="69">
        <f t="shared" si="12"/>
        <v>1</v>
      </c>
    </row>
    <row r="25" ht="16" customHeight="1" spans="1:16">
      <c r="A25" s="75"/>
      <c r="B25" s="72"/>
      <c r="C25" s="73"/>
      <c r="D25" s="72"/>
      <c r="E25" s="72"/>
      <c r="F25" s="72"/>
      <c r="G25" s="74"/>
      <c r="H25" s="72"/>
      <c r="I25" s="92" t="s">
        <v>145</v>
      </c>
      <c r="J25" s="73"/>
      <c r="K25" s="73"/>
      <c r="L25" s="72"/>
      <c r="M25" s="97"/>
      <c r="N25" s="97"/>
      <c r="O25" s="68"/>
      <c r="P25" s="69"/>
    </row>
    <row r="26" ht="16" customHeight="1" spans="1:16">
      <c r="A26" s="75"/>
      <c r="B26" s="72"/>
      <c r="C26" s="73"/>
      <c r="D26" s="72"/>
      <c r="E26" s="72"/>
      <c r="F26" s="72"/>
      <c r="G26" s="74"/>
      <c r="H26" s="72"/>
      <c r="I26" s="92" t="s">
        <v>146</v>
      </c>
      <c r="J26" s="73"/>
      <c r="K26" s="73"/>
      <c r="L26" s="72"/>
      <c r="M26" s="97"/>
      <c r="N26" s="97"/>
      <c r="O26" s="72"/>
      <c r="P26" s="93"/>
    </row>
    <row r="27" ht="16" customHeight="1" spans="1:16">
      <c r="A27" s="75"/>
      <c r="B27" s="72"/>
      <c r="C27" s="73"/>
      <c r="D27" s="72"/>
      <c r="E27" s="72"/>
      <c r="F27" s="72"/>
      <c r="G27" s="74"/>
      <c r="H27" s="72"/>
      <c r="I27" s="92" t="s">
        <v>147</v>
      </c>
      <c r="J27" s="98">
        <f>723+6</f>
        <v>729</v>
      </c>
      <c r="K27" s="98">
        <f>723+6</f>
        <v>729</v>
      </c>
      <c r="L27" s="72">
        <v>204</v>
      </c>
      <c r="M27" s="97">
        <v>110</v>
      </c>
      <c r="N27" s="97">
        <v>110</v>
      </c>
      <c r="O27" s="68">
        <f>N27-M27</f>
        <v>0</v>
      </c>
      <c r="P27" s="69">
        <f>N27/M27</f>
        <v>1</v>
      </c>
    </row>
    <row r="28" ht="16" customHeight="1" spans="1:16">
      <c r="A28" s="75"/>
      <c r="B28" s="72"/>
      <c r="C28" s="73"/>
      <c r="D28" s="72"/>
      <c r="E28" s="72"/>
      <c r="F28" s="72"/>
      <c r="G28" s="74"/>
      <c r="H28" s="72"/>
      <c r="I28" s="92" t="s">
        <v>148</v>
      </c>
      <c r="J28" s="73"/>
      <c r="K28" s="73"/>
      <c r="L28" s="72"/>
      <c r="M28" s="97"/>
      <c r="N28" s="97"/>
      <c r="O28" s="72"/>
      <c r="P28" s="93"/>
    </row>
    <row r="29" ht="29" customHeight="1" spans="1:16">
      <c r="A29" s="75"/>
      <c r="B29" s="72"/>
      <c r="C29" s="73"/>
      <c r="D29" s="72"/>
      <c r="E29" s="72"/>
      <c r="F29" s="72"/>
      <c r="G29" s="74"/>
      <c r="H29" s="72"/>
      <c r="I29" s="92" t="s">
        <v>149</v>
      </c>
      <c r="J29" s="73"/>
      <c r="K29" s="73"/>
      <c r="L29" s="72"/>
      <c r="M29" s="72"/>
      <c r="N29" s="72"/>
      <c r="O29" s="72"/>
      <c r="P29" s="93"/>
    </row>
    <row r="30" ht="16" customHeight="1" spans="1:16">
      <c r="A30" s="75"/>
      <c r="B30" s="72"/>
      <c r="C30" s="73"/>
      <c r="D30" s="72"/>
      <c r="E30" s="72"/>
      <c r="F30" s="72"/>
      <c r="G30" s="74"/>
      <c r="H30" s="72"/>
      <c r="I30" s="92" t="s">
        <v>150</v>
      </c>
      <c r="J30" s="73"/>
      <c r="K30" s="73"/>
      <c r="L30" s="72">
        <f>SUM(L31:L34)</f>
        <v>190</v>
      </c>
      <c r="M30" s="72"/>
      <c r="N30" s="72"/>
      <c r="O30" s="72"/>
      <c r="P30" s="93"/>
    </row>
    <row r="31" ht="16" customHeight="1" spans="1:16">
      <c r="A31" s="75"/>
      <c r="B31" s="72"/>
      <c r="C31" s="73"/>
      <c r="D31" s="72"/>
      <c r="E31" s="72"/>
      <c r="F31" s="72"/>
      <c r="G31" s="74"/>
      <c r="H31" s="72"/>
      <c r="I31" s="92" t="s">
        <v>151</v>
      </c>
      <c r="J31" s="73"/>
      <c r="K31" s="73"/>
      <c r="L31" s="72"/>
      <c r="M31" s="72"/>
      <c r="N31" s="72"/>
      <c r="O31" s="72"/>
      <c r="P31" s="93"/>
    </row>
    <row r="32" ht="16" customHeight="1" spans="1:16">
      <c r="A32" s="75"/>
      <c r="B32" s="72"/>
      <c r="C32" s="73"/>
      <c r="D32" s="72"/>
      <c r="E32" s="72"/>
      <c r="F32" s="72"/>
      <c r="G32" s="74"/>
      <c r="H32" s="72"/>
      <c r="I32" s="92" t="s">
        <v>152</v>
      </c>
      <c r="J32" s="73"/>
      <c r="K32" s="73"/>
      <c r="L32" s="72"/>
      <c r="M32" s="72"/>
      <c r="N32" s="72"/>
      <c r="O32" s="72"/>
      <c r="P32" s="93"/>
    </row>
    <row r="33" ht="29" customHeight="1" spans="1:16">
      <c r="A33" s="75"/>
      <c r="B33" s="72"/>
      <c r="C33" s="73"/>
      <c r="D33" s="72"/>
      <c r="E33" s="72"/>
      <c r="F33" s="72"/>
      <c r="G33" s="74"/>
      <c r="H33" s="72"/>
      <c r="I33" s="92" t="s">
        <v>153</v>
      </c>
      <c r="J33" s="73"/>
      <c r="K33" s="73"/>
      <c r="L33" s="72"/>
      <c r="M33" s="72"/>
      <c r="N33" s="72"/>
      <c r="O33" s="72"/>
      <c r="P33" s="93"/>
    </row>
    <row r="34" ht="16" customHeight="1" spans="1:16">
      <c r="A34" s="75"/>
      <c r="B34" s="72"/>
      <c r="C34" s="73"/>
      <c r="D34" s="72"/>
      <c r="E34" s="72"/>
      <c r="F34" s="72"/>
      <c r="G34" s="74"/>
      <c r="H34" s="72"/>
      <c r="I34" s="92" t="s">
        <v>141</v>
      </c>
      <c r="J34" s="73"/>
      <c r="K34" s="73"/>
      <c r="L34" s="72">
        <v>190</v>
      </c>
      <c r="M34" s="72"/>
      <c r="N34" s="72"/>
      <c r="O34" s="72"/>
      <c r="P34" s="93"/>
    </row>
    <row r="35" ht="16" customHeight="1" spans="1:16">
      <c r="A35" s="75"/>
      <c r="B35" s="72"/>
      <c r="C35" s="73"/>
      <c r="D35" s="72"/>
      <c r="E35" s="72"/>
      <c r="F35" s="72"/>
      <c r="G35" s="74"/>
      <c r="H35" s="72"/>
      <c r="I35" s="92" t="s">
        <v>154</v>
      </c>
      <c r="J35" s="73"/>
      <c r="K35" s="73"/>
      <c r="L35" s="72">
        <f>SUM(L36)</f>
        <v>372</v>
      </c>
      <c r="M35" s="72"/>
      <c r="N35" s="72"/>
      <c r="O35" s="72"/>
      <c r="P35" s="93"/>
    </row>
    <row r="36" ht="16" customHeight="1" spans="1:16">
      <c r="A36" s="75"/>
      <c r="B36" s="72"/>
      <c r="C36" s="73"/>
      <c r="D36" s="72"/>
      <c r="E36" s="72"/>
      <c r="F36" s="72"/>
      <c r="G36" s="74"/>
      <c r="H36" s="72"/>
      <c r="I36" s="92" t="s">
        <v>141</v>
      </c>
      <c r="J36" s="73"/>
      <c r="K36" s="73"/>
      <c r="L36" s="72">
        <v>372</v>
      </c>
      <c r="M36" s="72"/>
      <c r="N36" s="72"/>
      <c r="O36" s="72"/>
      <c r="P36" s="93"/>
    </row>
    <row r="37" ht="16" customHeight="1" spans="1:16">
      <c r="A37" s="75"/>
      <c r="B37" s="72"/>
      <c r="C37" s="73"/>
      <c r="D37" s="72"/>
      <c r="E37" s="72"/>
      <c r="F37" s="72"/>
      <c r="G37" s="74"/>
      <c r="H37" s="72"/>
      <c r="I37" s="92" t="s">
        <v>155</v>
      </c>
      <c r="J37" s="73">
        <f>J38</f>
        <v>465</v>
      </c>
      <c r="K37" s="73">
        <f>K38</f>
        <v>465</v>
      </c>
      <c r="L37" s="72">
        <f>SUM(L38)</f>
        <v>0</v>
      </c>
      <c r="M37" s="72"/>
      <c r="N37" s="72"/>
      <c r="O37" s="72"/>
      <c r="P37" s="93"/>
    </row>
    <row r="38" ht="16" customHeight="1" spans="1:16">
      <c r="A38" s="75"/>
      <c r="B38" s="72"/>
      <c r="C38" s="73"/>
      <c r="D38" s="72"/>
      <c r="E38" s="72"/>
      <c r="F38" s="72"/>
      <c r="G38" s="74"/>
      <c r="H38" s="72"/>
      <c r="I38" s="92" t="s">
        <v>141</v>
      </c>
      <c r="J38" s="73">
        <v>465</v>
      </c>
      <c r="K38" s="73">
        <v>465</v>
      </c>
      <c r="L38" s="72">
        <v>0</v>
      </c>
      <c r="M38" s="72"/>
      <c r="N38" s="72"/>
      <c r="O38" s="72"/>
      <c r="P38" s="93"/>
    </row>
    <row r="39" ht="16" customHeight="1" spans="1:16">
      <c r="A39" s="75"/>
      <c r="B39" s="72"/>
      <c r="C39" s="73"/>
      <c r="D39" s="72"/>
      <c r="E39" s="72"/>
      <c r="F39" s="72"/>
      <c r="G39" s="74"/>
      <c r="H39" s="72"/>
      <c r="I39" s="84" t="s">
        <v>156</v>
      </c>
      <c r="J39" s="73">
        <f t="shared" ref="J39:N39" si="14">SUM(J40:J43)</f>
        <v>478209</v>
      </c>
      <c r="K39" s="73">
        <f t="shared" si="14"/>
        <v>360532</v>
      </c>
      <c r="L39" s="72">
        <f t="shared" si="14"/>
        <v>376443</v>
      </c>
      <c r="M39" s="72">
        <f t="shared" si="14"/>
        <v>425796</v>
      </c>
      <c r="N39" s="72">
        <f t="shared" si="14"/>
        <v>493804</v>
      </c>
      <c r="O39" s="68">
        <f t="shared" ref="O39:O44" si="15">N39-M39</f>
        <v>68008</v>
      </c>
      <c r="P39" s="69">
        <f t="shared" ref="P39:P44" si="16">N39/M39</f>
        <v>1.15971967796785</v>
      </c>
    </row>
    <row r="40" ht="16" customHeight="1" spans="1:16">
      <c r="A40" s="75"/>
      <c r="B40" s="72"/>
      <c r="C40" s="73"/>
      <c r="D40" s="72"/>
      <c r="E40" s="72"/>
      <c r="F40" s="72"/>
      <c r="G40" s="74"/>
      <c r="H40" s="72"/>
      <c r="I40" s="92" t="s">
        <v>157</v>
      </c>
      <c r="J40" s="95">
        <f>73976+400000</f>
        <v>473976</v>
      </c>
      <c r="K40" s="95">
        <f>73976+400000-125942+8265</f>
        <v>356299</v>
      </c>
      <c r="L40" s="72">
        <f>356337</f>
        <v>356337</v>
      </c>
      <c r="M40" s="72">
        <f>419000</f>
        <v>419000</v>
      </c>
      <c r="N40" s="72">
        <f>419000+68008</f>
        <v>487008</v>
      </c>
      <c r="O40" s="68">
        <f t="shared" si="15"/>
        <v>68008</v>
      </c>
      <c r="P40" s="69">
        <f t="shared" si="16"/>
        <v>1.16231026252983</v>
      </c>
    </row>
    <row r="41" ht="16" customHeight="1" spans="1:16">
      <c r="A41" s="75"/>
      <c r="B41" s="72"/>
      <c r="C41" s="73"/>
      <c r="D41" s="72"/>
      <c r="E41" s="72"/>
      <c r="F41" s="72"/>
      <c r="G41" s="74"/>
      <c r="H41" s="72"/>
      <c r="I41" s="92" t="s">
        <v>158</v>
      </c>
      <c r="J41" s="95">
        <v>60</v>
      </c>
      <c r="K41" s="95">
        <v>60</v>
      </c>
      <c r="L41" s="72">
        <v>50</v>
      </c>
      <c r="M41" s="72">
        <v>70</v>
      </c>
      <c r="N41" s="72">
        <v>70</v>
      </c>
      <c r="O41" s="68">
        <f t="shared" si="15"/>
        <v>0</v>
      </c>
      <c r="P41" s="69">
        <f t="shared" si="16"/>
        <v>1</v>
      </c>
    </row>
    <row r="42" ht="16" customHeight="1" spans="1:16">
      <c r="A42" s="77"/>
      <c r="B42" s="72"/>
      <c r="C42" s="73"/>
      <c r="D42" s="72"/>
      <c r="E42" s="72"/>
      <c r="F42" s="72"/>
      <c r="G42" s="74"/>
      <c r="H42" s="72"/>
      <c r="I42" s="92" t="s">
        <v>159</v>
      </c>
      <c r="J42" s="95">
        <f>1400+80+805</f>
        <v>2285</v>
      </c>
      <c r="K42" s="95">
        <f>1400+80+805</f>
        <v>2285</v>
      </c>
      <c r="L42" s="72">
        <v>704</v>
      </c>
      <c r="M42" s="72">
        <f>3400+490</f>
        <v>3890</v>
      </c>
      <c r="N42" s="72">
        <f>3400+490</f>
        <v>3890</v>
      </c>
      <c r="O42" s="68">
        <f t="shared" si="15"/>
        <v>0</v>
      </c>
      <c r="P42" s="69">
        <f t="shared" si="16"/>
        <v>1</v>
      </c>
    </row>
    <row r="43" ht="16" customHeight="1" spans="1:16">
      <c r="A43" s="77"/>
      <c r="B43" s="72"/>
      <c r="C43" s="73"/>
      <c r="D43" s="72"/>
      <c r="E43" s="72"/>
      <c r="F43" s="72"/>
      <c r="G43" s="74"/>
      <c r="H43" s="72"/>
      <c r="I43" s="92" t="s">
        <v>160</v>
      </c>
      <c r="J43" s="95">
        <v>1888</v>
      </c>
      <c r="K43" s="95">
        <v>1888</v>
      </c>
      <c r="L43" s="72">
        <v>19352</v>
      </c>
      <c r="M43" s="72">
        <v>2836</v>
      </c>
      <c r="N43" s="72">
        <v>2836</v>
      </c>
      <c r="O43" s="68">
        <f t="shared" si="15"/>
        <v>0</v>
      </c>
      <c r="P43" s="69">
        <f t="shared" si="16"/>
        <v>1</v>
      </c>
    </row>
    <row r="44" ht="16" customHeight="1" spans="1:16">
      <c r="A44" s="77"/>
      <c r="B44" s="72"/>
      <c r="C44" s="73"/>
      <c r="D44" s="72"/>
      <c r="E44" s="72"/>
      <c r="F44" s="72"/>
      <c r="G44" s="74"/>
      <c r="H44" s="72"/>
      <c r="I44" s="99" t="s">
        <v>161</v>
      </c>
      <c r="J44" s="73">
        <f t="shared" ref="J44:N44" si="17">SUM(J45:J50)</f>
        <v>157413</v>
      </c>
      <c r="K44" s="73">
        <f t="shared" si="17"/>
        <v>157413</v>
      </c>
      <c r="L44" s="72">
        <f t="shared" si="17"/>
        <v>151872</v>
      </c>
      <c r="M44" s="72">
        <f t="shared" si="17"/>
        <v>173619</v>
      </c>
      <c r="N44" s="72">
        <f t="shared" si="17"/>
        <v>174419</v>
      </c>
      <c r="O44" s="68">
        <f t="shared" si="15"/>
        <v>800</v>
      </c>
      <c r="P44" s="69">
        <f t="shared" si="16"/>
        <v>1.00460779062199</v>
      </c>
    </row>
    <row r="45" ht="16" customHeight="1" spans="1:16">
      <c r="A45" s="77"/>
      <c r="B45" s="72"/>
      <c r="C45" s="73"/>
      <c r="D45" s="72"/>
      <c r="E45" s="72"/>
      <c r="F45" s="72"/>
      <c r="G45" s="74"/>
      <c r="H45" s="72"/>
      <c r="I45" s="84" t="s">
        <v>162</v>
      </c>
      <c r="J45" s="100"/>
      <c r="K45" s="100"/>
      <c r="L45" s="72"/>
      <c r="M45" s="72"/>
      <c r="N45" s="72"/>
      <c r="O45" s="72"/>
      <c r="P45" s="93"/>
    </row>
    <row r="46" ht="16" customHeight="1" spans="1:16">
      <c r="A46" s="77"/>
      <c r="B46" s="72"/>
      <c r="C46" s="73"/>
      <c r="D46" s="72"/>
      <c r="E46" s="72"/>
      <c r="F46" s="72"/>
      <c r="G46" s="74"/>
      <c r="H46" s="72"/>
      <c r="I46" s="101" t="s">
        <v>163</v>
      </c>
      <c r="J46" s="95">
        <v>24930</v>
      </c>
      <c r="K46" s="95">
        <v>24930</v>
      </c>
      <c r="L46" s="72">
        <v>24001</v>
      </c>
      <c r="M46" s="72">
        <v>6996</v>
      </c>
      <c r="N46" s="72">
        <v>6996</v>
      </c>
      <c r="O46" s="68">
        <f t="shared" ref="O46:O49" si="18">N46-M46</f>
        <v>0</v>
      </c>
      <c r="P46" s="69">
        <f t="shared" ref="P46:P49" si="19">N46/M46</f>
        <v>1</v>
      </c>
    </row>
    <row r="47" ht="16" customHeight="1" spans="1:16">
      <c r="A47" s="78"/>
      <c r="B47" s="72"/>
      <c r="C47" s="73"/>
      <c r="D47" s="72"/>
      <c r="E47" s="72"/>
      <c r="F47" s="72"/>
      <c r="G47" s="74"/>
      <c r="H47" s="72"/>
      <c r="I47" s="84" t="s">
        <v>164</v>
      </c>
      <c r="J47" s="95">
        <v>100318</v>
      </c>
      <c r="K47" s="95">
        <v>100318</v>
      </c>
      <c r="L47" s="72">
        <v>5120</v>
      </c>
      <c r="M47" s="72">
        <v>7375</v>
      </c>
      <c r="N47" s="72">
        <v>7375</v>
      </c>
      <c r="O47" s="68">
        <f t="shared" si="18"/>
        <v>0</v>
      </c>
      <c r="P47" s="69">
        <f t="shared" si="19"/>
        <v>1</v>
      </c>
    </row>
    <row r="48" ht="16" customHeight="1" spans="1:16">
      <c r="A48" s="79"/>
      <c r="B48" s="72"/>
      <c r="C48" s="73"/>
      <c r="D48" s="72"/>
      <c r="E48" s="72"/>
      <c r="F48" s="72"/>
      <c r="G48" s="74"/>
      <c r="H48" s="72"/>
      <c r="I48" s="84" t="s">
        <v>165</v>
      </c>
      <c r="J48" s="95">
        <v>13215</v>
      </c>
      <c r="K48" s="95">
        <v>13215</v>
      </c>
      <c r="L48" s="72">
        <v>14777</v>
      </c>
      <c r="M48" s="72">
        <v>9287</v>
      </c>
      <c r="N48" s="72">
        <v>9287</v>
      </c>
      <c r="O48" s="68">
        <f t="shared" si="18"/>
        <v>0</v>
      </c>
      <c r="P48" s="69">
        <f t="shared" si="19"/>
        <v>1</v>
      </c>
    </row>
    <row r="49" ht="16" customHeight="1" spans="1:16">
      <c r="A49" s="79"/>
      <c r="B49" s="72"/>
      <c r="C49" s="73"/>
      <c r="D49" s="72"/>
      <c r="E49" s="72"/>
      <c r="F49" s="72"/>
      <c r="G49" s="74"/>
      <c r="H49" s="72"/>
      <c r="I49" s="84" t="s">
        <v>166</v>
      </c>
      <c r="J49" s="95">
        <v>18950</v>
      </c>
      <c r="K49" s="95">
        <v>18950</v>
      </c>
      <c r="L49" s="72">
        <v>101375</v>
      </c>
      <c r="M49" s="72">
        <v>149961</v>
      </c>
      <c r="N49" s="72">
        <f>149961+800</f>
        <v>150761</v>
      </c>
      <c r="O49" s="68">
        <f t="shared" si="18"/>
        <v>800</v>
      </c>
      <c r="P49" s="69">
        <f t="shared" si="19"/>
        <v>1.00533472036063</v>
      </c>
    </row>
    <row r="50" ht="16" customHeight="1" spans="1:16">
      <c r="A50" s="79"/>
      <c r="B50" s="72"/>
      <c r="C50" s="73"/>
      <c r="D50" s="72"/>
      <c r="E50" s="72"/>
      <c r="F50" s="72"/>
      <c r="G50" s="74"/>
      <c r="H50" s="72"/>
      <c r="I50" s="84" t="s">
        <v>167</v>
      </c>
      <c r="J50" s="95"/>
      <c r="K50" s="95"/>
      <c r="L50" s="72">
        <v>6599</v>
      </c>
      <c r="M50" s="72"/>
      <c r="N50" s="72"/>
      <c r="O50" s="72"/>
      <c r="P50" s="93"/>
    </row>
    <row r="51" ht="16" customHeight="1" spans="1:16">
      <c r="A51" s="79"/>
      <c r="B51" s="72"/>
      <c r="C51" s="73"/>
      <c r="D51" s="72"/>
      <c r="E51" s="72"/>
      <c r="F51" s="72"/>
      <c r="G51" s="74"/>
      <c r="H51" s="72"/>
      <c r="I51" s="99" t="s">
        <v>168</v>
      </c>
      <c r="J51" s="73">
        <f t="shared" ref="J51:N51" si="20">SUM(J52:J57)</f>
        <v>1442</v>
      </c>
      <c r="K51" s="73">
        <f t="shared" si="20"/>
        <v>1442</v>
      </c>
      <c r="L51" s="72">
        <f t="shared" si="20"/>
        <v>1049</v>
      </c>
      <c r="M51" s="72">
        <f t="shared" si="20"/>
        <v>1661</v>
      </c>
      <c r="N51" s="72">
        <f t="shared" si="20"/>
        <v>1661</v>
      </c>
      <c r="O51" s="68">
        <f t="shared" ref="O51:O56" si="21">N51-M51</f>
        <v>0</v>
      </c>
      <c r="P51" s="69">
        <f t="shared" ref="P51:P56" si="22">N51/M51</f>
        <v>1</v>
      </c>
    </row>
    <row r="52" ht="29" customHeight="1" spans="1:16">
      <c r="A52" s="79"/>
      <c r="B52" s="72"/>
      <c r="C52" s="73"/>
      <c r="D52" s="72"/>
      <c r="E52" s="72"/>
      <c r="F52" s="72"/>
      <c r="G52" s="74"/>
      <c r="H52" s="72"/>
      <c r="I52" s="101" t="s">
        <v>169</v>
      </c>
      <c r="J52" s="73"/>
      <c r="K52" s="73"/>
      <c r="L52" s="72"/>
      <c r="M52" s="72"/>
      <c r="N52" s="72"/>
      <c r="O52" s="68">
        <f t="shared" si="21"/>
        <v>0</v>
      </c>
      <c r="P52" s="69"/>
    </row>
    <row r="53" ht="16" customHeight="1" spans="1:16">
      <c r="A53" s="79"/>
      <c r="B53" s="72"/>
      <c r="C53" s="73"/>
      <c r="D53" s="72"/>
      <c r="E53" s="72"/>
      <c r="F53" s="72"/>
      <c r="G53" s="74"/>
      <c r="H53" s="72"/>
      <c r="I53" s="101" t="s">
        <v>170</v>
      </c>
      <c r="J53" s="73"/>
      <c r="K53" s="73"/>
      <c r="L53" s="72">
        <v>52</v>
      </c>
      <c r="M53" s="72">
        <v>50</v>
      </c>
      <c r="N53" s="72">
        <v>50</v>
      </c>
      <c r="O53" s="68">
        <f t="shared" si="21"/>
        <v>0</v>
      </c>
      <c r="P53" s="69">
        <f t="shared" si="22"/>
        <v>1</v>
      </c>
    </row>
    <row r="54" ht="16" customHeight="1" spans="1:16">
      <c r="A54" s="79"/>
      <c r="B54" s="72"/>
      <c r="C54" s="73"/>
      <c r="D54" s="72"/>
      <c r="E54" s="72"/>
      <c r="F54" s="72"/>
      <c r="G54" s="74"/>
      <c r="H54" s="72"/>
      <c r="I54" s="101" t="s">
        <v>171</v>
      </c>
      <c r="J54" s="73"/>
      <c r="K54" s="73"/>
      <c r="L54" s="72"/>
      <c r="M54" s="72">
        <v>23</v>
      </c>
      <c r="N54" s="72">
        <v>23</v>
      </c>
      <c r="O54" s="68">
        <f t="shared" si="21"/>
        <v>0</v>
      </c>
      <c r="P54" s="69">
        <f t="shared" si="22"/>
        <v>1</v>
      </c>
    </row>
    <row r="55" ht="16" customHeight="1" spans="1:16">
      <c r="A55" s="79"/>
      <c r="B55" s="72"/>
      <c r="C55" s="73"/>
      <c r="D55" s="72"/>
      <c r="E55" s="72"/>
      <c r="F55" s="72"/>
      <c r="G55" s="74"/>
      <c r="H55" s="72"/>
      <c r="I55" s="84" t="s">
        <v>172</v>
      </c>
      <c r="J55" s="73"/>
      <c r="K55" s="73"/>
      <c r="L55" s="72">
        <v>11</v>
      </c>
      <c r="M55" s="72">
        <v>93</v>
      </c>
      <c r="N55" s="72">
        <v>93</v>
      </c>
      <c r="O55" s="68">
        <f t="shared" si="21"/>
        <v>0</v>
      </c>
      <c r="P55" s="69">
        <f t="shared" si="22"/>
        <v>1</v>
      </c>
    </row>
    <row r="56" ht="29" customHeight="1" spans="1:16">
      <c r="A56" s="79"/>
      <c r="B56" s="72"/>
      <c r="C56" s="73"/>
      <c r="D56" s="72"/>
      <c r="E56" s="72"/>
      <c r="F56" s="72"/>
      <c r="G56" s="74"/>
      <c r="H56" s="72"/>
      <c r="I56" s="84" t="s">
        <v>173</v>
      </c>
      <c r="J56" s="95">
        <v>1442</v>
      </c>
      <c r="K56" s="95">
        <v>1442</v>
      </c>
      <c r="L56" s="72">
        <v>757</v>
      </c>
      <c r="M56" s="72">
        <v>1495</v>
      </c>
      <c r="N56" s="72">
        <v>1495</v>
      </c>
      <c r="O56" s="68">
        <f t="shared" si="21"/>
        <v>0</v>
      </c>
      <c r="P56" s="69">
        <f t="shared" si="22"/>
        <v>1</v>
      </c>
    </row>
    <row r="57" ht="16" customHeight="1" spans="1:16">
      <c r="A57" s="79"/>
      <c r="B57" s="72"/>
      <c r="C57" s="73"/>
      <c r="D57" s="72"/>
      <c r="E57" s="72"/>
      <c r="F57" s="72"/>
      <c r="G57" s="74"/>
      <c r="H57" s="72"/>
      <c r="I57" s="84" t="s">
        <v>174</v>
      </c>
      <c r="J57" s="73"/>
      <c r="K57" s="67"/>
      <c r="L57" s="72">
        <v>229</v>
      </c>
      <c r="M57" s="67"/>
      <c r="N57" s="67"/>
      <c r="O57" s="72"/>
      <c r="P57" s="93"/>
    </row>
    <row r="58" s="45" customFormat="1" ht="16" customHeight="1" spans="1:16">
      <c r="A58" s="80" t="s">
        <v>64</v>
      </c>
      <c r="B58" s="63">
        <f t="shared" ref="B58:F58" si="23">SUM(B59:B64)</f>
        <v>946122</v>
      </c>
      <c r="C58" s="64">
        <f t="shared" si="23"/>
        <v>1204822</v>
      </c>
      <c r="D58" s="64">
        <f t="shared" si="23"/>
        <v>1204820</v>
      </c>
      <c r="E58" s="63">
        <f t="shared" si="23"/>
        <v>769350</v>
      </c>
      <c r="F58" s="63">
        <f t="shared" si="23"/>
        <v>1112350</v>
      </c>
      <c r="G58" s="81">
        <f>F58-E58</f>
        <v>343000</v>
      </c>
      <c r="H58" s="65">
        <f>F58/E58</f>
        <v>1.44583089621109</v>
      </c>
      <c r="I58" s="80" t="s">
        <v>178</v>
      </c>
      <c r="J58" s="64">
        <f t="shared" ref="G58:N58" si="24">SUM(J59:J64)</f>
        <v>591236</v>
      </c>
      <c r="K58" s="64">
        <f t="shared" si="24"/>
        <v>591236</v>
      </c>
      <c r="L58" s="63">
        <f t="shared" si="24"/>
        <v>538134</v>
      </c>
      <c r="M58" s="63">
        <f t="shared" si="24"/>
        <v>355352</v>
      </c>
      <c r="N58" s="63">
        <f t="shared" si="24"/>
        <v>355352</v>
      </c>
      <c r="O58" s="64">
        <f t="shared" ref="O58:O66" si="25">N58-M58</f>
        <v>0</v>
      </c>
      <c r="P58" s="65">
        <f t="shared" ref="P58:P66" si="26">N58/M58</f>
        <v>1</v>
      </c>
    </row>
    <row r="59" ht="16" customHeight="1" spans="1:16">
      <c r="A59" s="75" t="s">
        <v>179</v>
      </c>
      <c r="B59" s="72"/>
      <c r="C59" s="73"/>
      <c r="D59" s="72"/>
      <c r="E59" s="72"/>
      <c r="F59" s="72"/>
      <c r="G59" s="68"/>
      <c r="H59" s="71"/>
      <c r="I59" s="92" t="s">
        <v>180</v>
      </c>
      <c r="J59" s="73"/>
      <c r="K59" s="73"/>
      <c r="L59" s="72"/>
      <c r="M59" s="72"/>
      <c r="N59" s="72"/>
      <c r="O59" s="72"/>
      <c r="P59" s="93"/>
    </row>
    <row r="60" ht="16" customHeight="1" spans="1:16">
      <c r="A60" s="82" t="s">
        <v>181</v>
      </c>
      <c r="B60" s="83"/>
      <c r="C60" s="83"/>
      <c r="D60" s="83"/>
      <c r="E60" s="83"/>
      <c r="F60" s="83"/>
      <c r="G60" s="68"/>
      <c r="H60" s="71"/>
      <c r="I60" s="82" t="s">
        <v>182</v>
      </c>
      <c r="J60" s="95">
        <v>56047</v>
      </c>
      <c r="K60" s="95">
        <v>56047</v>
      </c>
      <c r="L60" s="72">
        <v>56047</v>
      </c>
      <c r="M60" s="72"/>
      <c r="N60" s="72"/>
      <c r="O60" s="68"/>
      <c r="P60" s="69"/>
    </row>
    <row r="61" ht="16" customHeight="1" spans="1:16">
      <c r="A61" s="84" t="s">
        <v>183</v>
      </c>
      <c r="B61" s="83"/>
      <c r="C61" s="83"/>
      <c r="D61" s="83"/>
      <c r="E61" s="83"/>
      <c r="F61" s="83"/>
      <c r="G61" s="68"/>
      <c r="H61" s="71"/>
      <c r="I61" s="82" t="s">
        <v>184</v>
      </c>
      <c r="J61" s="95"/>
      <c r="K61" s="95"/>
      <c r="L61" s="72"/>
      <c r="M61" s="72"/>
      <c r="N61" s="72"/>
      <c r="O61" s="72"/>
      <c r="P61" s="93"/>
    </row>
    <row r="62" ht="16" customHeight="1" spans="1:16">
      <c r="A62" s="84" t="s">
        <v>185</v>
      </c>
      <c r="B62" s="83"/>
      <c r="C62" s="83"/>
      <c r="D62" s="85"/>
      <c r="E62" s="83"/>
      <c r="F62" s="83"/>
      <c r="G62" s="68"/>
      <c r="H62" s="71"/>
      <c r="I62" s="82" t="s">
        <v>186</v>
      </c>
      <c r="J62" s="95">
        <v>255700</v>
      </c>
      <c r="K62" s="95">
        <v>255700</v>
      </c>
      <c r="L62" s="72">
        <v>11500</v>
      </c>
      <c r="M62" s="72">
        <v>144800</v>
      </c>
      <c r="N62" s="72">
        <v>144800</v>
      </c>
      <c r="O62" s="68">
        <f t="shared" si="25"/>
        <v>0</v>
      </c>
      <c r="P62" s="69">
        <f t="shared" si="26"/>
        <v>1</v>
      </c>
    </row>
    <row r="63" ht="16" customHeight="1" spans="1:16">
      <c r="A63" s="75" t="s">
        <v>187</v>
      </c>
      <c r="B63" s="72">
        <v>400000</v>
      </c>
      <c r="C63" s="73">
        <f>400000+228700+30000</f>
        <v>658700</v>
      </c>
      <c r="D63" s="72">
        <v>658700</v>
      </c>
      <c r="E63" s="72">
        <v>419000</v>
      </c>
      <c r="F63" s="72">
        <f>419000+343000</f>
        <v>762000</v>
      </c>
      <c r="G63" s="68">
        <f t="shared" ref="G63:G66" si="27">F63-E63</f>
        <v>343000</v>
      </c>
      <c r="H63" s="69">
        <f t="shared" ref="H63:H66" si="28">F63/E63</f>
        <v>1.81861575178998</v>
      </c>
      <c r="I63" s="92" t="s">
        <v>188</v>
      </c>
      <c r="J63" s="73">
        <v>39500</v>
      </c>
      <c r="K63" s="73">
        <v>39500</v>
      </c>
      <c r="L63" s="72">
        <v>254700</v>
      </c>
      <c r="M63" s="72">
        <v>154702</v>
      </c>
      <c r="N63" s="72">
        <v>154702</v>
      </c>
      <c r="O63" s="68">
        <f t="shared" si="25"/>
        <v>0</v>
      </c>
      <c r="P63" s="69">
        <f t="shared" si="26"/>
        <v>1</v>
      </c>
    </row>
    <row r="64" ht="16" customHeight="1" spans="1:16">
      <c r="A64" s="75" t="s">
        <v>189</v>
      </c>
      <c r="B64" s="72">
        <f>316122+230000</f>
        <v>546122</v>
      </c>
      <c r="C64" s="72">
        <f>316122+230000</f>
        <v>546122</v>
      </c>
      <c r="D64" s="72">
        <v>546120</v>
      </c>
      <c r="E64" s="72">
        <f>294500+55850</f>
        <v>350350</v>
      </c>
      <c r="F64" s="72">
        <f>294500+55850</f>
        <v>350350</v>
      </c>
      <c r="G64" s="68">
        <f t="shared" si="27"/>
        <v>0</v>
      </c>
      <c r="H64" s="69">
        <f t="shared" si="28"/>
        <v>1</v>
      </c>
      <c r="I64" s="75" t="s">
        <v>190</v>
      </c>
      <c r="J64" s="73">
        <f>230000+9989</f>
        <v>239989</v>
      </c>
      <c r="K64" s="73">
        <f>230000+9989</f>
        <v>239989</v>
      </c>
      <c r="L64" s="72">
        <v>215887</v>
      </c>
      <c r="M64" s="72">
        <v>55850</v>
      </c>
      <c r="N64" s="72">
        <v>55850</v>
      </c>
      <c r="O64" s="68">
        <f t="shared" si="25"/>
        <v>0</v>
      </c>
      <c r="P64" s="69">
        <f t="shared" si="26"/>
        <v>1</v>
      </c>
    </row>
    <row r="65" s="45" customFormat="1" ht="16" customHeight="1" spans="1:16">
      <c r="A65" s="62" t="s">
        <v>72</v>
      </c>
      <c r="B65" s="63">
        <f t="shared" ref="B65:F65" si="29">SUM(B66:B69)</f>
        <v>186297</v>
      </c>
      <c r="C65" s="64">
        <f t="shared" si="29"/>
        <v>186297</v>
      </c>
      <c r="D65" s="63">
        <f t="shared" si="29"/>
        <v>208124</v>
      </c>
      <c r="E65" s="63">
        <f t="shared" si="29"/>
        <v>85053</v>
      </c>
      <c r="F65" s="63">
        <f t="shared" si="29"/>
        <v>85053</v>
      </c>
      <c r="G65" s="81">
        <f t="shared" si="27"/>
        <v>0</v>
      </c>
      <c r="H65" s="65">
        <f t="shared" si="28"/>
        <v>1</v>
      </c>
      <c r="I65" s="103" t="s">
        <v>191</v>
      </c>
      <c r="J65" s="64">
        <f t="shared" ref="J65:N65" si="30">J66+J67+J68+J69+J76</f>
        <v>227587</v>
      </c>
      <c r="K65" s="64">
        <f t="shared" si="30"/>
        <v>603964</v>
      </c>
      <c r="L65" s="63">
        <f t="shared" si="30"/>
        <v>693798</v>
      </c>
      <c r="M65" s="63">
        <f t="shared" si="30"/>
        <v>172699</v>
      </c>
      <c r="N65" s="63">
        <f t="shared" si="30"/>
        <v>447691</v>
      </c>
      <c r="O65" s="64">
        <f t="shared" si="25"/>
        <v>274992</v>
      </c>
      <c r="P65" s="65">
        <f t="shared" si="26"/>
        <v>2.59231958494259</v>
      </c>
    </row>
    <row r="66" ht="16" customHeight="1" spans="1:16">
      <c r="A66" s="102" t="s">
        <v>192</v>
      </c>
      <c r="B66" s="72">
        <v>3171</v>
      </c>
      <c r="C66" s="72">
        <v>3171</v>
      </c>
      <c r="D66" s="72">
        <v>36326</v>
      </c>
      <c r="E66" s="72">
        <v>34992</v>
      </c>
      <c r="F66" s="72">
        <v>34992</v>
      </c>
      <c r="G66" s="68">
        <f t="shared" si="27"/>
        <v>0</v>
      </c>
      <c r="H66" s="69">
        <f t="shared" si="28"/>
        <v>1</v>
      </c>
      <c r="I66" s="99" t="s">
        <v>234</v>
      </c>
      <c r="J66" s="83">
        <v>127587</v>
      </c>
      <c r="K66" s="72">
        <v>127587</v>
      </c>
      <c r="L66" s="72">
        <v>150241</v>
      </c>
      <c r="M66" s="72">
        <f>94568+3000</f>
        <v>97568</v>
      </c>
      <c r="N66" s="72">
        <f>94568+3000</f>
        <v>97568</v>
      </c>
      <c r="O66" s="68">
        <f t="shared" si="25"/>
        <v>0</v>
      </c>
      <c r="P66" s="69">
        <f t="shared" si="26"/>
        <v>1</v>
      </c>
    </row>
    <row r="67" ht="16" customHeight="1" spans="1:16">
      <c r="A67" s="102" t="s">
        <v>235</v>
      </c>
      <c r="B67" s="72"/>
      <c r="C67" s="72"/>
      <c r="D67" s="72"/>
      <c r="E67" s="72"/>
      <c r="F67" s="72"/>
      <c r="G67" s="68"/>
      <c r="H67" s="71"/>
      <c r="I67" s="99" t="s">
        <v>236</v>
      </c>
      <c r="J67" s="73"/>
      <c r="K67" s="72"/>
      <c r="L67" s="72"/>
      <c r="M67" s="72"/>
      <c r="N67" s="72"/>
      <c r="O67" s="72"/>
      <c r="P67" s="93"/>
    </row>
    <row r="68" ht="16" customHeight="1" spans="1:16">
      <c r="A68" s="102" t="s">
        <v>228</v>
      </c>
      <c r="B68" s="72">
        <v>183126</v>
      </c>
      <c r="C68" s="72">
        <v>183126</v>
      </c>
      <c r="D68" s="72">
        <v>171798</v>
      </c>
      <c r="E68" s="72">
        <v>50061</v>
      </c>
      <c r="F68" s="72">
        <v>50061</v>
      </c>
      <c r="G68" s="68">
        <f>F68-E68</f>
        <v>0</v>
      </c>
      <c r="H68" s="69">
        <f>F68/E68</f>
        <v>1</v>
      </c>
      <c r="I68" s="99" t="s">
        <v>83</v>
      </c>
      <c r="J68" s="73">
        <v>65000</v>
      </c>
      <c r="K68" s="72">
        <v>65000</v>
      </c>
      <c r="L68" s="72">
        <v>100000</v>
      </c>
      <c r="M68" s="72">
        <v>45000</v>
      </c>
      <c r="N68" s="72">
        <v>45000</v>
      </c>
      <c r="O68" s="68">
        <f t="shared" ref="O68:O75" si="31">N68-M68</f>
        <v>0</v>
      </c>
      <c r="P68" s="69">
        <f t="shared" ref="P68:P74" si="32">N68/M68</f>
        <v>1</v>
      </c>
    </row>
    <row r="69" ht="16" customHeight="1" spans="1:16">
      <c r="A69" s="102" t="s">
        <v>230</v>
      </c>
      <c r="B69" s="72"/>
      <c r="C69" s="73"/>
      <c r="D69" s="72"/>
      <c r="E69" s="72"/>
      <c r="F69" s="72"/>
      <c r="G69" s="74"/>
      <c r="H69" s="72"/>
      <c r="I69" s="99" t="s">
        <v>237</v>
      </c>
      <c r="J69" s="73">
        <f>SUM(J70:J75)</f>
        <v>0</v>
      </c>
      <c r="K69" s="72">
        <f>SUM(K70:K75)</f>
        <v>376377</v>
      </c>
      <c r="L69" s="72">
        <f>SUM(L70:L75)</f>
        <v>393496</v>
      </c>
      <c r="M69" s="72">
        <f>SUM(M70:M75)</f>
        <v>27720</v>
      </c>
      <c r="N69" s="72">
        <f>SUM(N70:N75)</f>
        <v>302712</v>
      </c>
      <c r="O69" s="68">
        <f t="shared" si="31"/>
        <v>274992</v>
      </c>
      <c r="P69" s="69">
        <f t="shared" si="32"/>
        <v>10.9203463203463</v>
      </c>
    </row>
    <row r="70" ht="16" customHeight="1" spans="1:16">
      <c r="A70" s="75"/>
      <c r="B70" s="72"/>
      <c r="C70" s="76"/>
      <c r="D70" s="72"/>
      <c r="E70" s="72"/>
      <c r="F70" s="72"/>
      <c r="G70" s="72"/>
      <c r="H70" s="72"/>
      <c r="I70" s="104" t="s">
        <v>238</v>
      </c>
      <c r="J70" s="83"/>
      <c r="K70" s="72"/>
      <c r="L70" s="72"/>
      <c r="M70" s="72"/>
      <c r="N70" s="72"/>
      <c r="O70" s="72"/>
      <c r="P70" s="93"/>
    </row>
    <row r="71" ht="16" customHeight="1" spans="1:16">
      <c r="A71" s="75"/>
      <c r="B71" s="72"/>
      <c r="C71" s="73"/>
      <c r="D71" s="72"/>
      <c r="E71" s="72"/>
      <c r="F71" s="72"/>
      <c r="G71" s="74"/>
      <c r="H71" s="72"/>
      <c r="I71" s="104" t="s">
        <v>239</v>
      </c>
      <c r="J71" s="83"/>
      <c r="K71" s="72"/>
      <c r="L71" s="72"/>
      <c r="M71" s="72"/>
      <c r="N71" s="72"/>
      <c r="O71" s="72"/>
      <c r="P71" s="93"/>
    </row>
    <row r="72" ht="16" customHeight="1" spans="1:16">
      <c r="A72" s="75"/>
      <c r="B72" s="72"/>
      <c r="C72" s="73"/>
      <c r="D72" s="72"/>
      <c r="E72" s="72"/>
      <c r="F72" s="72"/>
      <c r="G72" s="74"/>
      <c r="H72" s="72"/>
      <c r="I72" s="104" t="s">
        <v>240</v>
      </c>
      <c r="J72" s="83"/>
      <c r="K72" s="72"/>
      <c r="L72" s="72"/>
      <c r="M72" s="72">
        <v>11500</v>
      </c>
      <c r="N72" s="72">
        <v>11500</v>
      </c>
      <c r="O72" s="68">
        <f t="shared" si="31"/>
        <v>0</v>
      </c>
      <c r="P72" s="69">
        <f t="shared" si="32"/>
        <v>1</v>
      </c>
    </row>
    <row r="73" ht="16" customHeight="1" spans="1:16">
      <c r="A73" s="75"/>
      <c r="B73" s="72"/>
      <c r="C73" s="73"/>
      <c r="D73" s="72"/>
      <c r="E73" s="72"/>
      <c r="F73" s="72"/>
      <c r="G73" s="74"/>
      <c r="H73" s="72"/>
      <c r="I73" s="104" t="s">
        <v>241</v>
      </c>
      <c r="J73" s="83"/>
      <c r="K73" s="72">
        <f>354642+21735</f>
        <v>376377</v>
      </c>
      <c r="L73" s="72">
        <v>393496</v>
      </c>
      <c r="M73" s="72">
        <v>0</v>
      </c>
      <c r="N73" s="72">
        <v>273400</v>
      </c>
      <c r="O73" s="68">
        <f t="shared" si="31"/>
        <v>273400</v>
      </c>
      <c r="P73" s="69"/>
    </row>
    <row r="74" ht="16" customHeight="1" spans="1:16">
      <c r="A74" s="75"/>
      <c r="B74" s="72"/>
      <c r="C74" s="73"/>
      <c r="D74" s="72"/>
      <c r="E74" s="72"/>
      <c r="F74" s="72"/>
      <c r="G74" s="74"/>
      <c r="H74" s="72"/>
      <c r="I74" s="104" t="s">
        <v>242</v>
      </c>
      <c r="J74" s="83"/>
      <c r="K74" s="72"/>
      <c r="L74" s="72"/>
      <c r="M74" s="72">
        <v>0</v>
      </c>
      <c r="N74" s="72">
        <v>1592</v>
      </c>
      <c r="O74" s="68">
        <f t="shared" si="31"/>
        <v>1592</v>
      </c>
      <c r="P74" s="69"/>
    </row>
    <row r="75" ht="16" customHeight="1" spans="1:16">
      <c r="A75" s="75"/>
      <c r="B75" s="72"/>
      <c r="C75" s="73"/>
      <c r="D75" s="72"/>
      <c r="E75" s="72"/>
      <c r="F75" s="72"/>
      <c r="G75" s="74"/>
      <c r="H75" s="72"/>
      <c r="I75" s="104" t="s">
        <v>243</v>
      </c>
      <c r="J75" s="83"/>
      <c r="K75" s="72"/>
      <c r="L75" s="72"/>
      <c r="M75" s="72">
        <v>16220</v>
      </c>
      <c r="N75" s="72">
        <v>16220</v>
      </c>
      <c r="O75" s="68">
        <f t="shared" si="31"/>
        <v>0</v>
      </c>
      <c r="P75" s="69">
        <f>N75/M75</f>
        <v>1</v>
      </c>
    </row>
    <row r="76" ht="16" customHeight="1" spans="1:16">
      <c r="A76" s="75"/>
      <c r="B76" s="72"/>
      <c r="C76" s="73"/>
      <c r="D76" s="72"/>
      <c r="E76" s="72"/>
      <c r="F76" s="72"/>
      <c r="G76" s="74"/>
      <c r="H76" s="72"/>
      <c r="I76" s="99" t="s">
        <v>244</v>
      </c>
      <c r="J76" s="100">
        <v>35000</v>
      </c>
      <c r="K76" s="72">
        <v>35000</v>
      </c>
      <c r="L76" s="72">
        <v>50061</v>
      </c>
      <c r="M76" s="72">
        <v>2411</v>
      </c>
      <c r="N76" s="72">
        <v>2411</v>
      </c>
      <c r="O76" s="68">
        <f t="shared" ref="O75:O77" si="33">N76-M76</f>
        <v>0</v>
      </c>
      <c r="P76" s="69">
        <f t="shared" ref="P75:P77" si="34">N76/M76</f>
        <v>1</v>
      </c>
    </row>
    <row r="77" ht="16" customHeight="1" spans="1:16">
      <c r="A77" s="62" t="s">
        <v>109</v>
      </c>
      <c r="B77" s="72">
        <f t="shared" ref="B77:F77" si="35">B7+B58+B65</f>
        <v>2832419</v>
      </c>
      <c r="C77" s="72">
        <f t="shared" si="35"/>
        <v>3091119</v>
      </c>
      <c r="D77" s="72">
        <f t="shared" si="35"/>
        <v>2799844</v>
      </c>
      <c r="E77" s="72">
        <f t="shared" si="35"/>
        <v>2354403</v>
      </c>
      <c r="F77" s="72">
        <f t="shared" si="35"/>
        <v>2698203</v>
      </c>
      <c r="G77" s="68">
        <f>F77-E77</f>
        <v>343800</v>
      </c>
      <c r="H77" s="69">
        <f>F77/E77</f>
        <v>1.14602427876621</v>
      </c>
      <c r="I77" s="62" t="s">
        <v>110</v>
      </c>
      <c r="J77" s="72">
        <f t="shared" ref="J77:N77" si="36">J7++J58+J65</f>
        <v>2832419</v>
      </c>
      <c r="K77" s="72">
        <f t="shared" si="36"/>
        <v>3091119</v>
      </c>
      <c r="L77" s="72">
        <f>L7+L58+L65</f>
        <v>2799844</v>
      </c>
      <c r="M77" s="72">
        <f t="shared" si="36"/>
        <v>2354403</v>
      </c>
      <c r="N77" s="72">
        <f t="shared" si="36"/>
        <v>2698203</v>
      </c>
      <c r="O77" s="68">
        <f t="shared" si="33"/>
        <v>343800</v>
      </c>
      <c r="P77" s="69">
        <f t="shared" si="34"/>
        <v>1.14602427876621</v>
      </c>
    </row>
    <row r="78" spans="12:14">
      <c r="L78" s="48"/>
      <c r="M78" s="48"/>
      <c r="N78" s="48"/>
    </row>
  </sheetData>
  <mergeCells count="20">
    <mergeCell ref="A2:P2"/>
    <mergeCell ref="M3:P3"/>
    <mergeCell ref="A4:H4"/>
    <mergeCell ref="I4:P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s>
  <conditionalFormatting sqref="A60">
    <cfRule type="expression" dxfId="0" priority="2" stopIfTrue="1">
      <formula>"len($A:$A)=3"</formula>
    </cfRule>
  </conditionalFormatting>
  <conditionalFormatting sqref="I60:I62">
    <cfRule type="expression" dxfId="0" priority="1" stopIfTrue="1">
      <formula>"len($A:$A)=3"</formula>
    </cfRule>
  </conditionalFormatting>
  <printOptions horizontalCentered="1"/>
  <pageMargins left="0.550694444444444" right="0.550694444444444" top="0.511805555555556" bottom="0.590277777777778" header="0.393055555555556" footer="0.275"/>
  <pageSetup paperSize="8" scale="89" firstPageNumber="7" fitToHeight="0" orientation="landscape" useFirstPageNumber="1" horizontalDpi="600"/>
  <headerFooter>
    <oddFooter>&amp;C&amp;18— &amp;P —</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4"/>
  <sheetViews>
    <sheetView tabSelected="1" view="pageBreakPreview" zoomScale="85" zoomScaleNormal="85" zoomScaleSheetLayoutView="85" workbookViewId="0">
      <selection activeCell="A2" sqref="A2:P2"/>
    </sheetView>
  </sheetViews>
  <sheetFormatPr defaultColWidth="9" defaultRowHeight="20.25" outlineLevelCol="5"/>
  <cols>
    <col min="1" max="1" width="9" style="2"/>
    <col min="2" max="2" width="18.625" style="3" customWidth="1"/>
    <col min="3" max="3" width="50.6333333333333" style="4" customWidth="1"/>
    <col min="4" max="4" width="50.6333333333333" style="5" customWidth="1"/>
    <col min="5" max="5" width="20.2583333333333" style="6" customWidth="1"/>
    <col min="6" max="6" width="37.7583333333333" style="7" customWidth="1"/>
    <col min="7" max="7" width="9" style="32"/>
    <col min="8" max="8" width="9.875" style="32"/>
    <col min="9" max="16383" width="9" style="32"/>
  </cols>
  <sheetData>
    <row r="1" s="32" customFormat="1" spans="1:6">
      <c r="A1" s="8" t="s">
        <v>0</v>
      </c>
      <c r="B1" s="3"/>
      <c r="C1" s="4"/>
      <c r="D1" s="5"/>
      <c r="E1" s="6"/>
      <c r="F1" s="7"/>
    </row>
    <row r="2" s="32" customFormat="1" ht="31.5" spans="1:6">
      <c r="A2" s="9" t="s">
        <v>245</v>
      </c>
      <c r="B2" s="9"/>
      <c r="C2" s="9"/>
      <c r="D2" s="9"/>
      <c r="E2" s="10"/>
      <c r="F2" s="9"/>
    </row>
    <row r="3" s="32" customFormat="1" ht="18.75" spans="1:6">
      <c r="A3" s="11"/>
      <c r="B3" s="11"/>
      <c r="C3" s="11"/>
      <c r="D3" s="11"/>
      <c r="E3" s="12" t="s">
        <v>246</v>
      </c>
      <c r="F3" s="13"/>
    </row>
    <row r="4" s="32" customFormat="1" ht="40" customHeight="1" spans="1:6">
      <c r="A4" s="14" t="s">
        <v>247</v>
      </c>
      <c r="B4" s="14" t="s">
        <v>248</v>
      </c>
      <c r="C4" s="15" t="s">
        <v>249</v>
      </c>
      <c r="D4" s="15" t="s">
        <v>250</v>
      </c>
      <c r="E4" s="16" t="s">
        <v>251</v>
      </c>
      <c r="F4" s="17" t="s">
        <v>252</v>
      </c>
    </row>
    <row r="5" s="33" customFormat="1" ht="40" customHeight="1" spans="1:6">
      <c r="A5" s="18" t="s">
        <v>253</v>
      </c>
      <c r="B5" s="18"/>
      <c r="C5" s="18"/>
      <c r="D5" s="19"/>
      <c r="E5" s="20">
        <f>E6+E10</f>
        <v>17000</v>
      </c>
      <c r="F5" s="21"/>
    </row>
    <row r="6" s="33" customFormat="1" ht="40" customHeight="1" spans="1:6">
      <c r="A6" s="18" t="s">
        <v>254</v>
      </c>
      <c r="B6" s="18"/>
      <c r="C6" s="18"/>
      <c r="D6" s="19"/>
      <c r="E6" s="20">
        <f>SUM(E7:E9)</f>
        <v>2500</v>
      </c>
      <c r="F6" s="22"/>
    </row>
    <row r="7" s="33" customFormat="1" ht="40" customHeight="1" spans="1:6">
      <c r="A7" s="34">
        <v>1</v>
      </c>
      <c r="B7" s="35" t="s">
        <v>255</v>
      </c>
      <c r="C7" s="35" t="s">
        <v>256</v>
      </c>
      <c r="D7" s="39" t="s">
        <v>257</v>
      </c>
      <c r="E7" s="41">
        <v>1000</v>
      </c>
      <c r="F7" s="38" t="s">
        <v>258</v>
      </c>
    </row>
    <row r="8" s="33" customFormat="1" ht="40" customHeight="1" spans="1:6">
      <c r="A8" s="34">
        <v>2</v>
      </c>
      <c r="B8" s="35" t="s">
        <v>255</v>
      </c>
      <c r="C8" s="35" t="s">
        <v>259</v>
      </c>
      <c r="D8" s="39" t="s">
        <v>260</v>
      </c>
      <c r="E8" s="41">
        <v>800</v>
      </c>
      <c r="F8" s="38" t="s">
        <v>261</v>
      </c>
    </row>
    <row r="9" s="33" customFormat="1" ht="40" customHeight="1" spans="1:6">
      <c r="A9" s="34">
        <v>3</v>
      </c>
      <c r="B9" s="35" t="s">
        <v>255</v>
      </c>
      <c r="C9" s="35" t="s">
        <v>262</v>
      </c>
      <c r="D9" s="39" t="s">
        <v>263</v>
      </c>
      <c r="E9" s="41">
        <v>700</v>
      </c>
      <c r="F9" s="38" t="s">
        <v>264</v>
      </c>
    </row>
    <row r="10" s="33" customFormat="1" ht="40" customHeight="1" spans="1:6">
      <c r="A10" s="18" t="s">
        <v>265</v>
      </c>
      <c r="B10" s="18"/>
      <c r="C10" s="18"/>
      <c r="D10" s="19"/>
      <c r="E10" s="20">
        <f>SUM(E11:E24)</f>
        <v>14500</v>
      </c>
      <c r="F10" s="22"/>
    </row>
    <row r="11" s="33" customFormat="1" ht="40" customHeight="1" spans="1:6">
      <c r="A11" s="34">
        <v>1</v>
      </c>
      <c r="B11" s="35" t="s">
        <v>266</v>
      </c>
      <c r="C11" s="35" t="s">
        <v>267</v>
      </c>
      <c r="D11" s="39" t="s">
        <v>268</v>
      </c>
      <c r="E11" s="41">
        <v>500</v>
      </c>
      <c r="F11" s="38" t="s">
        <v>261</v>
      </c>
    </row>
    <row r="12" s="33" customFormat="1" ht="40" customHeight="1" spans="1:6">
      <c r="A12" s="34">
        <v>2</v>
      </c>
      <c r="B12" s="35" t="s">
        <v>266</v>
      </c>
      <c r="C12" s="35" t="s">
        <v>267</v>
      </c>
      <c r="D12" s="39" t="s">
        <v>269</v>
      </c>
      <c r="E12" s="41">
        <v>700</v>
      </c>
      <c r="F12" s="38" t="s">
        <v>261</v>
      </c>
    </row>
    <row r="13" s="33" customFormat="1" ht="40" customHeight="1" spans="1:6">
      <c r="A13" s="34">
        <v>3</v>
      </c>
      <c r="B13" s="35" t="s">
        <v>266</v>
      </c>
      <c r="C13" s="35" t="s">
        <v>270</v>
      </c>
      <c r="D13" s="39" t="s">
        <v>271</v>
      </c>
      <c r="E13" s="41">
        <v>1500</v>
      </c>
      <c r="F13" s="38" t="s">
        <v>264</v>
      </c>
    </row>
    <row r="14" s="33" customFormat="1" ht="40" customHeight="1" spans="1:6">
      <c r="A14" s="34">
        <v>4</v>
      </c>
      <c r="B14" s="35" t="s">
        <v>272</v>
      </c>
      <c r="C14" s="35" t="s">
        <v>273</v>
      </c>
      <c r="D14" s="39" t="s">
        <v>274</v>
      </c>
      <c r="E14" s="41">
        <v>2000</v>
      </c>
      <c r="F14" s="38" t="s">
        <v>264</v>
      </c>
    </row>
    <row r="15" s="33" customFormat="1" ht="40" customHeight="1" spans="1:6">
      <c r="A15" s="34">
        <v>5</v>
      </c>
      <c r="B15" s="35" t="s">
        <v>272</v>
      </c>
      <c r="C15" s="35" t="s">
        <v>275</v>
      </c>
      <c r="D15" s="39" t="s">
        <v>276</v>
      </c>
      <c r="E15" s="41">
        <v>500</v>
      </c>
      <c r="F15" s="38" t="s">
        <v>264</v>
      </c>
    </row>
    <row r="16" s="33" customFormat="1" ht="40" customHeight="1" spans="1:6">
      <c r="A16" s="34">
        <v>6</v>
      </c>
      <c r="B16" s="35" t="s">
        <v>272</v>
      </c>
      <c r="C16" s="35" t="s">
        <v>275</v>
      </c>
      <c r="D16" s="39" t="s">
        <v>277</v>
      </c>
      <c r="E16" s="41">
        <v>500</v>
      </c>
      <c r="F16" s="38" t="s">
        <v>264</v>
      </c>
    </row>
    <row r="17" s="33" customFormat="1" ht="40" customHeight="1" spans="1:6">
      <c r="A17" s="34">
        <v>7</v>
      </c>
      <c r="B17" s="35" t="s">
        <v>278</v>
      </c>
      <c r="C17" s="35" t="s">
        <v>273</v>
      </c>
      <c r="D17" s="39" t="s">
        <v>279</v>
      </c>
      <c r="E17" s="41">
        <v>2800</v>
      </c>
      <c r="F17" s="38" t="s">
        <v>264</v>
      </c>
    </row>
    <row r="18" s="33" customFormat="1" ht="40" customHeight="1" spans="1:6">
      <c r="A18" s="34">
        <v>8</v>
      </c>
      <c r="B18" s="35" t="s">
        <v>278</v>
      </c>
      <c r="C18" s="42" t="s">
        <v>280</v>
      </c>
      <c r="D18" s="43" t="s">
        <v>281</v>
      </c>
      <c r="E18" s="41">
        <v>1000</v>
      </c>
      <c r="F18" s="38" t="s">
        <v>264</v>
      </c>
    </row>
    <row r="19" s="33" customFormat="1" ht="40" customHeight="1" spans="1:6">
      <c r="A19" s="34">
        <v>9</v>
      </c>
      <c r="B19" s="35" t="s">
        <v>278</v>
      </c>
      <c r="C19" s="35" t="s">
        <v>282</v>
      </c>
      <c r="D19" s="39" t="s">
        <v>283</v>
      </c>
      <c r="E19" s="41">
        <v>500</v>
      </c>
      <c r="F19" s="38" t="s">
        <v>284</v>
      </c>
    </row>
    <row r="20" s="33" customFormat="1" ht="40" customHeight="1" spans="1:6">
      <c r="A20" s="34">
        <v>10</v>
      </c>
      <c r="B20" s="35" t="s">
        <v>278</v>
      </c>
      <c r="C20" s="35" t="s">
        <v>285</v>
      </c>
      <c r="D20" s="39" t="s">
        <v>286</v>
      </c>
      <c r="E20" s="41">
        <v>500</v>
      </c>
      <c r="F20" s="38" t="s">
        <v>264</v>
      </c>
    </row>
    <row r="21" s="33" customFormat="1" ht="40" customHeight="1" spans="1:6">
      <c r="A21" s="34">
        <v>11</v>
      </c>
      <c r="B21" s="35" t="s">
        <v>287</v>
      </c>
      <c r="C21" s="35" t="s">
        <v>288</v>
      </c>
      <c r="D21" s="39" t="s">
        <v>289</v>
      </c>
      <c r="E21" s="41">
        <v>1200</v>
      </c>
      <c r="F21" s="38" t="s">
        <v>261</v>
      </c>
    </row>
    <row r="22" s="33" customFormat="1" ht="40" customHeight="1" spans="1:6">
      <c r="A22" s="34">
        <v>12</v>
      </c>
      <c r="B22" s="35" t="s">
        <v>287</v>
      </c>
      <c r="C22" s="35" t="s">
        <v>290</v>
      </c>
      <c r="D22" s="39" t="s">
        <v>291</v>
      </c>
      <c r="E22" s="41">
        <v>1000</v>
      </c>
      <c r="F22" s="38" t="s">
        <v>292</v>
      </c>
    </row>
    <row r="23" s="33" customFormat="1" ht="40" customHeight="1" spans="1:6">
      <c r="A23" s="34">
        <v>13</v>
      </c>
      <c r="B23" s="35" t="s">
        <v>287</v>
      </c>
      <c r="C23" s="35" t="s">
        <v>288</v>
      </c>
      <c r="D23" s="39" t="s">
        <v>293</v>
      </c>
      <c r="E23" s="41">
        <v>800</v>
      </c>
      <c r="F23" s="38" t="s">
        <v>294</v>
      </c>
    </row>
    <row r="24" s="33" customFormat="1" ht="40" customHeight="1" spans="1:6">
      <c r="A24" s="34">
        <v>14</v>
      </c>
      <c r="B24" s="35" t="s">
        <v>287</v>
      </c>
      <c r="C24" s="35" t="s">
        <v>290</v>
      </c>
      <c r="D24" s="39" t="s">
        <v>295</v>
      </c>
      <c r="E24" s="41">
        <v>1000</v>
      </c>
      <c r="F24" s="38" t="s">
        <v>296</v>
      </c>
    </row>
  </sheetData>
  <mergeCells count="6">
    <mergeCell ref="A2:F2"/>
    <mergeCell ref="A3:D3"/>
    <mergeCell ref="E3:F3"/>
    <mergeCell ref="A5:D5"/>
    <mergeCell ref="A6:D6"/>
    <mergeCell ref="A10:D10"/>
  </mergeCells>
  <printOptions horizontalCentered="1"/>
  <pageMargins left="0.550694444444444" right="0.550694444444444" top="0.511805555555556" bottom="0.590277777777778" header="0.393055555555556" footer="0.275"/>
  <pageSetup paperSize="8" firstPageNumber="9" fitToHeight="0" orientation="landscape" useFirstPageNumber="1" horizontalDpi="600"/>
  <headerFooter>
    <oddFooter>&amp;C&amp;18— &amp;P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tabSelected="1" workbookViewId="0">
      <selection activeCell="A2" sqref="A2:P2"/>
    </sheetView>
  </sheetViews>
  <sheetFormatPr defaultColWidth="9" defaultRowHeight="20.25" outlineLevelCol="5"/>
  <cols>
    <col min="1" max="1" width="9" style="2"/>
    <col min="2" max="2" width="18.625" style="3" customWidth="1"/>
    <col min="3" max="3" width="50.6333333333333" style="4" customWidth="1"/>
    <col min="4" max="4" width="50.6333333333333" style="5" customWidth="1"/>
    <col min="5" max="5" width="20.2583333333333" style="6" customWidth="1"/>
    <col min="6" max="6" width="37.7583333333333" style="7" customWidth="1"/>
    <col min="7" max="7" width="9" style="32"/>
    <col min="8" max="8" width="12.875" style="32"/>
    <col min="9" max="16383" width="9" style="32"/>
  </cols>
  <sheetData>
    <row r="1" s="32" customFormat="1" spans="1:6">
      <c r="A1" s="8" t="s">
        <v>0</v>
      </c>
      <c r="B1" s="3"/>
      <c r="C1" s="4"/>
      <c r="D1" s="5"/>
      <c r="E1" s="6"/>
      <c r="F1" s="7"/>
    </row>
    <row r="2" s="32" customFormat="1" ht="31.5" spans="1:6">
      <c r="A2" s="9" t="s">
        <v>297</v>
      </c>
      <c r="B2" s="9"/>
      <c r="C2" s="9"/>
      <c r="D2" s="9"/>
      <c r="E2" s="10"/>
      <c r="F2" s="9"/>
    </row>
    <row r="3" s="32" customFormat="1" ht="18.75" spans="1:6">
      <c r="A3" s="11"/>
      <c r="B3" s="11"/>
      <c r="C3" s="11"/>
      <c r="D3" s="11"/>
      <c r="E3" s="12" t="s">
        <v>246</v>
      </c>
      <c r="F3" s="13"/>
    </row>
    <row r="4" s="32" customFormat="1" ht="40" customHeight="1" spans="1:6">
      <c r="A4" s="14" t="s">
        <v>247</v>
      </c>
      <c r="B4" s="14" t="s">
        <v>248</v>
      </c>
      <c r="C4" s="15" t="s">
        <v>249</v>
      </c>
      <c r="D4" s="15" t="s">
        <v>250</v>
      </c>
      <c r="E4" s="16" t="s">
        <v>251</v>
      </c>
      <c r="F4" s="17" t="s">
        <v>252</v>
      </c>
    </row>
    <row r="5" s="33" customFormat="1" ht="40" customHeight="1" spans="1:6">
      <c r="A5" s="18" t="s">
        <v>253</v>
      </c>
      <c r="B5" s="18"/>
      <c r="C5" s="18"/>
      <c r="D5" s="19"/>
      <c r="E5" s="20">
        <f>E6+E11</f>
        <v>13000</v>
      </c>
      <c r="F5" s="21"/>
    </row>
    <row r="6" s="33" customFormat="1" ht="40" customHeight="1" spans="1:6">
      <c r="A6" s="18" t="s">
        <v>254</v>
      </c>
      <c r="B6" s="18"/>
      <c r="C6" s="18"/>
      <c r="D6" s="19"/>
      <c r="E6" s="20">
        <f>SUM(E7:E10)</f>
        <v>7600</v>
      </c>
      <c r="F6" s="22"/>
    </row>
    <row r="7" s="33" customFormat="1" ht="40" customHeight="1" spans="1:6">
      <c r="A7" s="34">
        <v>1</v>
      </c>
      <c r="B7" s="35" t="s">
        <v>255</v>
      </c>
      <c r="C7" s="36" t="s">
        <v>298</v>
      </c>
      <c r="D7" s="36" t="s">
        <v>299</v>
      </c>
      <c r="E7" s="37">
        <v>2800</v>
      </c>
      <c r="F7" s="38" t="s">
        <v>300</v>
      </c>
    </row>
    <row r="8" s="33" customFormat="1" ht="40" customHeight="1" spans="1:6">
      <c r="A8" s="34">
        <v>2</v>
      </c>
      <c r="B8" s="36" t="s">
        <v>255</v>
      </c>
      <c r="C8" s="36" t="s">
        <v>273</v>
      </c>
      <c r="D8" s="36" t="s">
        <v>301</v>
      </c>
      <c r="E8" s="37">
        <v>1000</v>
      </c>
      <c r="F8" s="38" t="s">
        <v>300</v>
      </c>
    </row>
    <row r="9" s="33" customFormat="1" ht="40" customHeight="1" spans="1:6">
      <c r="A9" s="34">
        <v>3</v>
      </c>
      <c r="B9" s="35" t="s">
        <v>255</v>
      </c>
      <c r="C9" s="36" t="s">
        <v>302</v>
      </c>
      <c r="D9" s="36" t="s">
        <v>303</v>
      </c>
      <c r="E9" s="37">
        <v>900</v>
      </c>
      <c r="F9" s="38" t="s">
        <v>300</v>
      </c>
    </row>
    <row r="10" s="33" customFormat="1" ht="40" customHeight="1" spans="1:6">
      <c r="A10" s="34">
        <v>4</v>
      </c>
      <c r="B10" s="35" t="s">
        <v>255</v>
      </c>
      <c r="C10" s="36" t="s">
        <v>259</v>
      </c>
      <c r="D10" s="36" t="s">
        <v>304</v>
      </c>
      <c r="E10" s="37">
        <v>2900</v>
      </c>
      <c r="F10" s="38" t="s">
        <v>305</v>
      </c>
    </row>
    <row r="11" s="33" customFormat="1" ht="40" customHeight="1" spans="1:6">
      <c r="A11" s="18" t="s">
        <v>265</v>
      </c>
      <c r="B11" s="18"/>
      <c r="C11" s="18"/>
      <c r="D11" s="19"/>
      <c r="E11" s="20">
        <f>SUM(E12:E15)</f>
        <v>5400</v>
      </c>
      <c r="F11" s="22"/>
    </row>
    <row r="12" s="33" customFormat="1" ht="40" customHeight="1" spans="1:6">
      <c r="A12" s="34">
        <v>5</v>
      </c>
      <c r="B12" s="35" t="s">
        <v>266</v>
      </c>
      <c r="C12" s="35" t="s">
        <v>270</v>
      </c>
      <c r="D12" s="39" t="s">
        <v>271</v>
      </c>
      <c r="E12" s="37">
        <v>3000</v>
      </c>
      <c r="F12" s="38" t="s">
        <v>264</v>
      </c>
    </row>
    <row r="13" s="33" customFormat="1" ht="40" customHeight="1" spans="1:6">
      <c r="A13" s="34">
        <v>6</v>
      </c>
      <c r="B13" s="35" t="s">
        <v>272</v>
      </c>
      <c r="C13" s="35" t="s">
        <v>273</v>
      </c>
      <c r="D13" s="39" t="s">
        <v>274</v>
      </c>
      <c r="E13" s="37">
        <v>1000</v>
      </c>
      <c r="F13" s="38" t="s">
        <v>264</v>
      </c>
    </row>
    <row r="14" s="33" customFormat="1" ht="40" customHeight="1" spans="1:6">
      <c r="A14" s="34">
        <v>7</v>
      </c>
      <c r="B14" s="35" t="s">
        <v>272</v>
      </c>
      <c r="C14" s="35" t="s">
        <v>275</v>
      </c>
      <c r="D14" s="39" t="s">
        <v>277</v>
      </c>
      <c r="E14" s="37">
        <v>500</v>
      </c>
      <c r="F14" s="38" t="s">
        <v>264</v>
      </c>
    </row>
    <row r="15" s="33" customFormat="1" ht="40" customHeight="1" spans="1:6">
      <c r="A15" s="34">
        <v>8</v>
      </c>
      <c r="B15" s="40" t="s">
        <v>287</v>
      </c>
      <c r="C15" s="36" t="s">
        <v>290</v>
      </c>
      <c r="D15" s="36" t="s">
        <v>306</v>
      </c>
      <c r="E15" s="37">
        <v>900</v>
      </c>
      <c r="F15" s="38" t="s">
        <v>296</v>
      </c>
    </row>
  </sheetData>
  <mergeCells count="6">
    <mergeCell ref="A2:F2"/>
    <mergeCell ref="A3:D3"/>
    <mergeCell ref="E3:F3"/>
    <mergeCell ref="A5:D5"/>
    <mergeCell ref="A6:D6"/>
    <mergeCell ref="A11:D11"/>
  </mergeCells>
  <printOptions horizontalCentered="1"/>
  <pageMargins left="0.550694444444444" right="0.550694444444444" top="0.511805555555556" bottom="0.590277777777778" header="0.393055555555556" footer="0.275"/>
  <pageSetup paperSize="8" firstPageNumber="11" fitToHeight="0" orientation="landscape" useFirstPageNumber="1" horizontalDpi="600"/>
  <headerFooter>
    <oddFooter>&amp;C&amp;18— &amp;P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91"/>
  <sheetViews>
    <sheetView tabSelected="1" zoomScale="70" zoomScaleNormal="70" workbookViewId="0">
      <selection activeCell="A2" sqref="A2:P2"/>
    </sheetView>
  </sheetViews>
  <sheetFormatPr defaultColWidth="9" defaultRowHeight="20.25" outlineLevelCol="5"/>
  <cols>
    <col min="1" max="1" width="9" style="2"/>
    <col min="2" max="2" width="17.5" style="3" customWidth="1"/>
    <col min="3" max="3" width="50.6333333333333" style="4" customWidth="1"/>
    <col min="4" max="4" width="71.775" style="5" customWidth="1"/>
    <col min="5" max="5" width="20.2583333333333" style="6" customWidth="1"/>
    <col min="6" max="6" width="44.0583333333333" style="7" customWidth="1"/>
    <col min="8" max="8" width="9.875"/>
  </cols>
  <sheetData>
    <row r="1" spans="1:1">
      <c r="A1" s="8" t="s">
        <v>0</v>
      </c>
    </row>
    <row r="2" ht="31.5" spans="1:6">
      <c r="A2" s="9" t="s">
        <v>307</v>
      </c>
      <c r="B2" s="9"/>
      <c r="C2" s="9"/>
      <c r="D2" s="9"/>
      <c r="E2" s="10"/>
      <c r="F2" s="9"/>
    </row>
    <row r="3" ht="18.75" spans="1:6">
      <c r="A3" s="11"/>
      <c r="B3" s="11"/>
      <c r="C3" s="11"/>
      <c r="D3" s="11"/>
      <c r="E3" s="12" t="s">
        <v>246</v>
      </c>
      <c r="F3" s="13"/>
    </row>
    <row r="4" ht="40" customHeight="1" spans="1:6">
      <c r="A4" s="14" t="s">
        <v>247</v>
      </c>
      <c r="B4" s="14" t="s">
        <v>248</v>
      </c>
      <c r="C4" s="15" t="s">
        <v>249</v>
      </c>
      <c r="D4" s="15" t="s">
        <v>250</v>
      </c>
      <c r="E4" s="16" t="s">
        <v>251</v>
      </c>
      <c r="F4" s="17" t="s">
        <v>252</v>
      </c>
    </row>
    <row r="5" s="1" customFormat="1" ht="40" customHeight="1" spans="1:6">
      <c r="A5" s="18" t="s">
        <v>253</v>
      </c>
      <c r="B5" s="18"/>
      <c r="C5" s="18"/>
      <c r="D5" s="19"/>
      <c r="E5" s="20">
        <f>E6+E58</f>
        <v>419000</v>
      </c>
      <c r="F5" s="21"/>
    </row>
    <row r="6" s="1" customFormat="1" ht="40" customHeight="1" spans="1:6">
      <c r="A6" s="18" t="s">
        <v>254</v>
      </c>
      <c r="B6" s="18"/>
      <c r="C6" s="18"/>
      <c r="D6" s="19"/>
      <c r="E6" s="20">
        <f>SUM(E7:E57)</f>
        <v>219700</v>
      </c>
      <c r="F6" s="22"/>
    </row>
    <row r="7" s="1" customFormat="1" ht="40" customHeight="1" spans="1:6">
      <c r="A7" s="23">
        <v>1</v>
      </c>
      <c r="B7" s="24" t="s">
        <v>255</v>
      </c>
      <c r="C7" s="24" t="s">
        <v>308</v>
      </c>
      <c r="D7" s="25" t="s">
        <v>309</v>
      </c>
      <c r="E7" s="26">
        <v>15000</v>
      </c>
      <c r="F7" s="27" t="s">
        <v>310</v>
      </c>
    </row>
    <row r="8" s="1" customFormat="1" ht="40" customHeight="1" spans="1:6">
      <c r="A8" s="23">
        <v>2</v>
      </c>
      <c r="B8" s="24" t="s">
        <v>255</v>
      </c>
      <c r="C8" s="24" t="s">
        <v>256</v>
      </c>
      <c r="D8" s="25" t="s">
        <v>311</v>
      </c>
      <c r="E8" s="26">
        <v>1200</v>
      </c>
      <c r="F8" s="27" t="s">
        <v>310</v>
      </c>
    </row>
    <row r="9" s="1" customFormat="1" ht="40" customHeight="1" spans="1:6">
      <c r="A9" s="23">
        <v>3</v>
      </c>
      <c r="B9" s="24" t="s">
        <v>255</v>
      </c>
      <c r="C9" s="24" t="s">
        <v>290</v>
      </c>
      <c r="D9" s="25" t="s">
        <v>312</v>
      </c>
      <c r="E9" s="26">
        <v>2000</v>
      </c>
      <c r="F9" s="27" t="s">
        <v>310</v>
      </c>
    </row>
    <row r="10" s="1" customFormat="1" ht="40" customHeight="1" spans="1:6">
      <c r="A10" s="23">
        <v>4</v>
      </c>
      <c r="B10" s="24" t="s">
        <v>255</v>
      </c>
      <c r="C10" s="24" t="s">
        <v>290</v>
      </c>
      <c r="D10" s="25" t="s">
        <v>313</v>
      </c>
      <c r="E10" s="26">
        <v>1000</v>
      </c>
      <c r="F10" s="27" t="s">
        <v>310</v>
      </c>
    </row>
    <row r="11" s="1" customFormat="1" ht="40" customHeight="1" spans="1:6">
      <c r="A11" s="23">
        <v>5</v>
      </c>
      <c r="B11" s="24" t="s">
        <v>255</v>
      </c>
      <c r="C11" s="24" t="s">
        <v>314</v>
      </c>
      <c r="D11" s="25" t="s">
        <v>315</v>
      </c>
      <c r="E11" s="26">
        <v>23000</v>
      </c>
      <c r="F11" s="27" t="s">
        <v>310</v>
      </c>
    </row>
    <row r="12" s="1" customFormat="1" ht="40" customHeight="1" spans="1:6">
      <c r="A12" s="23">
        <v>6</v>
      </c>
      <c r="B12" s="24" t="s">
        <v>255</v>
      </c>
      <c r="C12" s="24" t="s">
        <v>316</v>
      </c>
      <c r="D12" s="25" t="s">
        <v>317</v>
      </c>
      <c r="E12" s="26">
        <v>11000</v>
      </c>
      <c r="F12" s="27" t="s">
        <v>310</v>
      </c>
    </row>
    <row r="13" s="1" customFormat="1" ht="40" customHeight="1" spans="1:6">
      <c r="A13" s="23">
        <v>7</v>
      </c>
      <c r="B13" s="24" t="s">
        <v>255</v>
      </c>
      <c r="C13" s="24" t="s">
        <v>318</v>
      </c>
      <c r="D13" s="25" t="s">
        <v>319</v>
      </c>
      <c r="E13" s="26">
        <v>5000</v>
      </c>
      <c r="F13" s="27" t="s">
        <v>310</v>
      </c>
    </row>
    <row r="14" s="1" customFormat="1" ht="40" customHeight="1" spans="1:6">
      <c r="A14" s="23">
        <v>8</v>
      </c>
      <c r="B14" s="24" t="s">
        <v>255</v>
      </c>
      <c r="C14" s="24" t="s">
        <v>320</v>
      </c>
      <c r="D14" s="25" t="s">
        <v>321</v>
      </c>
      <c r="E14" s="26">
        <v>2000</v>
      </c>
      <c r="F14" s="27" t="s">
        <v>310</v>
      </c>
    </row>
    <row r="15" s="1" customFormat="1" ht="40" customHeight="1" spans="1:6">
      <c r="A15" s="23">
        <v>9</v>
      </c>
      <c r="B15" s="24" t="s">
        <v>255</v>
      </c>
      <c r="C15" s="24" t="s">
        <v>290</v>
      </c>
      <c r="D15" s="25" t="s">
        <v>322</v>
      </c>
      <c r="E15" s="26">
        <v>15000</v>
      </c>
      <c r="F15" s="27" t="s">
        <v>310</v>
      </c>
    </row>
    <row r="16" s="1" customFormat="1" ht="40" customHeight="1" spans="1:6">
      <c r="A16" s="23">
        <v>10</v>
      </c>
      <c r="B16" s="24" t="s">
        <v>255</v>
      </c>
      <c r="C16" s="24" t="s">
        <v>290</v>
      </c>
      <c r="D16" s="25" t="s">
        <v>323</v>
      </c>
      <c r="E16" s="26">
        <v>7000</v>
      </c>
      <c r="F16" s="27" t="s">
        <v>310</v>
      </c>
    </row>
    <row r="17" s="1" customFormat="1" ht="40" customHeight="1" spans="1:6">
      <c r="A17" s="23">
        <v>11</v>
      </c>
      <c r="B17" s="24" t="s">
        <v>255</v>
      </c>
      <c r="C17" s="24" t="s">
        <v>290</v>
      </c>
      <c r="D17" s="25" t="s">
        <v>324</v>
      </c>
      <c r="E17" s="26">
        <v>1000</v>
      </c>
      <c r="F17" s="27" t="s">
        <v>310</v>
      </c>
    </row>
    <row r="18" s="1" customFormat="1" ht="40" customHeight="1" spans="1:6">
      <c r="A18" s="23">
        <v>12</v>
      </c>
      <c r="B18" s="24" t="s">
        <v>255</v>
      </c>
      <c r="C18" s="24" t="s">
        <v>290</v>
      </c>
      <c r="D18" s="25" t="s">
        <v>325</v>
      </c>
      <c r="E18" s="26">
        <v>3000</v>
      </c>
      <c r="F18" s="27" t="s">
        <v>310</v>
      </c>
    </row>
    <row r="19" s="1" customFormat="1" ht="40" customHeight="1" spans="1:6">
      <c r="A19" s="23">
        <v>13</v>
      </c>
      <c r="B19" s="24" t="s">
        <v>255</v>
      </c>
      <c r="C19" s="24" t="s">
        <v>290</v>
      </c>
      <c r="D19" s="25" t="s">
        <v>326</v>
      </c>
      <c r="E19" s="26">
        <v>2000</v>
      </c>
      <c r="F19" s="27" t="s">
        <v>310</v>
      </c>
    </row>
    <row r="20" s="1" customFormat="1" ht="40" customHeight="1" spans="1:6">
      <c r="A20" s="23">
        <v>14</v>
      </c>
      <c r="B20" s="24" t="s">
        <v>255</v>
      </c>
      <c r="C20" s="24" t="s">
        <v>290</v>
      </c>
      <c r="D20" s="25" t="s">
        <v>327</v>
      </c>
      <c r="E20" s="26">
        <v>2000</v>
      </c>
      <c r="F20" s="27" t="s">
        <v>310</v>
      </c>
    </row>
    <row r="21" s="1" customFormat="1" ht="40" customHeight="1" spans="1:6">
      <c r="A21" s="23">
        <v>15</v>
      </c>
      <c r="B21" s="24" t="s">
        <v>255</v>
      </c>
      <c r="C21" s="24" t="s">
        <v>290</v>
      </c>
      <c r="D21" s="25" t="s">
        <v>328</v>
      </c>
      <c r="E21" s="26">
        <v>1000</v>
      </c>
      <c r="F21" s="27" t="s">
        <v>310</v>
      </c>
    </row>
    <row r="22" s="1" customFormat="1" ht="40" customHeight="1" spans="1:6">
      <c r="A22" s="23">
        <v>16</v>
      </c>
      <c r="B22" s="24" t="s">
        <v>255</v>
      </c>
      <c r="C22" s="24" t="s">
        <v>290</v>
      </c>
      <c r="D22" s="25" t="s">
        <v>329</v>
      </c>
      <c r="E22" s="26">
        <v>1000</v>
      </c>
      <c r="F22" s="27" t="s">
        <v>310</v>
      </c>
    </row>
    <row r="23" s="1" customFormat="1" ht="40" customHeight="1" spans="1:6">
      <c r="A23" s="23">
        <v>17</v>
      </c>
      <c r="B23" s="24" t="s">
        <v>255</v>
      </c>
      <c r="C23" s="24" t="s">
        <v>290</v>
      </c>
      <c r="D23" s="25" t="s">
        <v>330</v>
      </c>
      <c r="E23" s="26">
        <v>3000</v>
      </c>
      <c r="F23" s="27" t="s">
        <v>310</v>
      </c>
    </row>
    <row r="24" s="1" customFormat="1" ht="40" customHeight="1" spans="1:6">
      <c r="A24" s="23">
        <v>18</v>
      </c>
      <c r="B24" s="24" t="s">
        <v>255</v>
      </c>
      <c r="C24" s="24" t="s">
        <v>290</v>
      </c>
      <c r="D24" s="25" t="s">
        <v>331</v>
      </c>
      <c r="E24" s="26">
        <v>10000</v>
      </c>
      <c r="F24" s="27" t="s">
        <v>310</v>
      </c>
    </row>
    <row r="25" s="1" customFormat="1" ht="40" customHeight="1" spans="1:6">
      <c r="A25" s="23">
        <v>19</v>
      </c>
      <c r="B25" s="24" t="s">
        <v>255</v>
      </c>
      <c r="C25" s="24" t="s">
        <v>290</v>
      </c>
      <c r="D25" s="25" t="s">
        <v>332</v>
      </c>
      <c r="E25" s="26">
        <v>2000</v>
      </c>
      <c r="F25" s="27" t="s">
        <v>310</v>
      </c>
    </row>
    <row r="26" s="1" customFormat="1" ht="40" customHeight="1" spans="1:6">
      <c r="A26" s="23">
        <v>20</v>
      </c>
      <c r="B26" s="24" t="s">
        <v>255</v>
      </c>
      <c r="C26" s="24" t="s">
        <v>290</v>
      </c>
      <c r="D26" s="25" t="s">
        <v>333</v>
      </c>
      <c r="E26" s="26">
        <v>2500</v>
      </c>
      <c r="F26" s="27" t="s">
        <v>310</v>
      </c>
    </row>
    <row r="27" s="1" customFormat="1" ht="40" customHeight="1" spans="1:6">
      <c r="A27" s="23">
        <v>21</v>
      </c>
      <c r="B27" s="24" t="s">
        <v>255</v>
      </c>
      <c r="C27" s="24" t="s">
        <v>290</v>
      </c>
      <c r="D27" s="25" t="s">
        <v>334</v>
      </c>
      <c r="E27" s="26">
        <v>1000</v>
      </c>
      <c r="F27" s="27" t="s">
        <v>310</v>
      </c>
    </row>
    <row r="28" s="1" customFormat="1" ht="40" customHeight="1" spans="1:6">
      <c r="A28" s="23">
        <v>22</v>
      </c>
      <c r="B28" s="24" t="s">
        <v>255</v>
      </c>
      <c r="C28" s="24" t="s">
        <v>290</v>
      </c>
      <c r="D28" s="25" t="s">
        <v>335</v>
      </c>
      <c r="E28" s="26">
        <v>1000</v>
      </c>
      <c r="F28" s="27" t="s">
        <v>310</v>
      </c>
    </row>
    <row r="29" s="1" customFormat="1" ht="40" customHeight="1" spans="1:6">
      <c r="A29" s="23">
        <v>23</v>
      </c>
      <c r="B29" s="24" t="s">
        <v>255</v>
      </c>
      <c r="C29" s="24" t="s">
        <v>290</v>
      </c>
      <c r="D29" s="25" t="s">
        <v>336</v>
      </c>
      <c r="E29" s="26">
        <v>1000</v>
      </c>
      <c r="F29" s="27" t="s">
        <v>310</v>
      </c>
    </row>
    <row r="30" s="1" customFormat="1" ht="40" customHeight="1" spans="1:6">
      <c r="A30" s="23">
        <v>24</v>
      </c>
      <c r="B30" s="24" t="s">
        <v>255</v>
      </c>
      <c r="C30" s="24" t="s">
        <v>290</v>
      </c>
      <c r="D30" s="25" t="s">
        <v>337</v>
      </c>
      <c r="E30" s="26">
        <v>4000</v>
      </c>
      <c r="F30" s="27" t="s">
        <v>310</v>
      </c>
    </row>
    <row r="31" s="1" customFormat="1" ht="40" customHeight="1" spans="1:6">
      <c r="A31" s="23">
        <v>25</v>
      </c>
      <c r="B31" s="24" t="s">
        <v>255</v>
      </c>
      <c r="C31" s="24" t="s">
        <v>290</v>
      </c>
      <c r="D31" s="25" t="s">
        <v>338</v>
      </c>
      <c r="E31" s="26">
        <v>3000</v>
      </c>
      <c r="F31" s="27" t="s">
        <v>310</v>
      </c>
    </row>
    <row r="32" s="1" customFormat="1" ht="40" customHeight="1" spans="1:6">
      <c r="A32" s="23">
        <v>26</v>
      </c>
      <c r="B32" s="24" t="s">
        <v>255</v>
      </c>
      <c r="C32" s="24" t="s">
        <v>290</v>
      </c>
      <c r="D32" s="25" t="s">
        <v>339</v>
      </c>
      <c r="E32" s="26">
        <v>10000</v>
      </c>
      <c r="F32" s="27" t="s">
        <v>310</v>
      </c>
    </row>
    <row r="33" s="1" customFormat="1" ht="40" customHeight="1" spans="1:6">
      <c r="A33" s="23">
        <v>27</v>
      </c>
      <c r="B33" s="24" t="s">
        <v>255</v>
      </c>
      <c r="C33" s="24" t="s">
        <v>290</v>
      </c>
      <c r="D33" s="25" t="s">
        <v>340</v>
      </c>
      <c r="E33" s="26">
        <v>2000</v>
      </c>
      <c r="F33" s="27" t="s">
        <v>310</v>
      </c>
    </row>
    <row r="34" s="1" customFormat="1" ht="40" customHeight="1" spans="1:6">
      <c r="A34" s="23">
        <v>28</v>
      </c>
      <c r="B34" s="24" t="s">
        <v>255</v>
      </c>
      <c r="C34" s="24" t="s">
        <v>290</v>
      </c>
      <c r="D34" s="25" t="s">
        <v>341</v>
      </c>
      <c r="E34" s="26">
        <v>1000</v>
      </c>
      <c r="F34" s="27" t="s">
        <v>310</v>
      </c>
    </row>
    <row r="35" s="1" customFormat="1" ht="40" customHeight="1" spans="1:6">
      <c r="A35" s="23">
        <v>29</v>
      </c>
      <c r="B35" s="24" t="s">
        <v>255</v>
      </c>
      <c r="C35" s="24" t="s">
        <v>290</v>
      </c>
      <c r="D35" s="25" t="s">
        <v>342</v>
      </c>
      <c r="E35" s="26">
        <v>3000</v>
      </c>
      <c r="F35" s="27" t="s">
        <v>310</v>
      </c>
    </row>
    <row r="36" s="1" customFormat="1" ht="40" customHeight="1" spans="1:6">
      <c r="A36" s="23">
        <v>30</v>
      </c>
      <c r="B36" s="24" t="s">
        <v>255</v>
      </c>
      <c r="C36" s="24" t="s">
        <v>290</v>
      </c>
      <c r="D36" s="25" t="s">
        <v>343</v>
      </c>
      <c r="E36" s="26">
        <v>4000</v>
      </c>
      <c r="F36" s="27" t="s">
        <v>310</v>
      </c>
    </row>
    <row r="37" s="1" customFormat="1" ht="40" customHeight="1" spans="1:6">
      <c r="A37" s="23">
        <v>31</v>
      </c>
      <c r="B37" s="24" t="s">
        <v>255</v>
      </c>
      <c r="C37" s="24" t="s">
        <v>290</v>
      </c>
      <c r="D37" s="25" t="s">
        <v>344</v>
      </c>
      <c r="E37" s="26">
        <v>1000</v>
      </c>
      <c r="F37" s="27" t="s">
        <v>310</v>
      </c>
    </row>
    <row r="38" s="1" customFormat="1" ht="40" customHeight="1" spans="1:6">
      <c r="A38" s="23">
        <v>32</v>
      </c>
      <c r="B38" s="24" t="s">
        <v>255</v>
      </c>
      <c r="C38" s="24" t="s">
        <v>290</v>
      </c>
      <c r="D38" s="25" t="s">
        <v>345</v>
      </c>
      <c r="E38" s="26">
        <v>2700</v>
      </c>
      <c r="F38" s="27" t="s">
        <v>310</v>
      </c>
    </row>
    <row r="39" s="1" customFormat="1" ht="40" customHeight="1" spans="1:6">
      <c r="A39" s="23">
        <v>33</v>
      </c>
      <c r="B39" s="24" t="s">
        <v>255</v>
      </c>
      <c r="C39" s="24" t="s">
        <v>290</v>
      </c>
      <c r="D39" s="25" t="s">
        <v>346</v>
      </c>
      <c r="E39" s="26">
        <v>1000</v>
      </c>
      <c r="F39" s="27" t="s">
        <v>310</v>
      </c>
    </row>
    <row r="40" s="1" customFormat="1" ht="40" customHeight="1" spans="1:6">
      <c r="A40" s="23">
        <v>34</v>
      </c>
      <c r="B40" s="24" t="s">
        <v>255</v>
      </c>
      <c r="C40" s="24" t="s">
        <v>290</v>
      </c>
      <c r="D40" s="25" t="s">
        <v>347</v>
      </c>
      <c r="E40" s="26">
        <v>18000</v>
      </c>
      <c r="F40" s="27" t="s">
        <v>310</v>
      </c>
    </row>
    <row r="41" s="1" customFormat="1" ht="40" customHeight="1" spans="1:6">
      <c r="A41" s="23">
        <v>35</v>
      </c>
      <c r="B41" s="24" t="s">
        <v>255</v>
      </c>
      <c r="C41" s="24" t="s">
        <v>290</v>
      </c>
      <c r="D41" s="25" t="s">
        <v>348</v>
      </c>
      <c r="E41" s="26">
        <v>1000</v>
      </c>
      <c r="F41" s="27" t="s">
        <v>310</v>
      </c>
    </row>
    <row r="42" s="1" customFormat="1" ht="40" customHeight="1" spans="1:6">
      <c r="A42" s="23">
        <v>36</v>
      </c>
      <c r="B42" s="24" t="s">
        <v>255</v>
      </c>
      <c r="C42" s="24" t="s">
        <v>349</v>
      </c>
      <c r="D42" s="25" t="s">
        <v>350</v>
      </c>
      <c r="E42" s="26">
        <v>8000</v>
      </c>
      <c r="F42" s="27" t="s">
        <v>310</v>
      </c>
    </row>
    <row r="43" s="1" customFormat="1" ht="40" customHeight="1" spans="1:6">
      <c r="A43" s="23">
        <v>37</v>
      </c>
      <c r="B43" s="24" t="s">
        <v>255</v>
      </c>
      <c r="C43" s="24" t="s">
        <v>290</v>
      </c>
      <c r="D43" s="25" t="s">
        <v>351</v>
      </c>
      <c r="E43" s="26">
        <v>1000</v>
      </c>
      <c r="F43" s="27" t="s">
        <v>310</v>
      </c>
    </row>
    <row r="44" s="1" customFormat="1" ht="40" customHeight="1" spans="1:6">
      <c r="A44" s="23">
        <v>38</v>
      </c>
      <c r="B44" s="24" t="s">
        <v>255</v>
      </c>
      <c r="C44" s="24" t="s">
        <v>290</v>
      </c>
      <c r="D44" s="25" t="s">
        <v>352</v>
      </c>
      <c r="E44" s="26">
        <v>1000</v>
      </c>
      <c r="F44" s="27" t="s">
        <v>310</v>
      </c>
    </row>
    <row r="45" s="1" customFormat="1" ht="40" customHeight="1" spans="1:6">
      <c r="A45" s="23">
        <v>39</v>
      </c>
      <c r="B45" s="24" t="s">
        <v>255</v>
      </c>
      <c r="C45" s="24" t="s">
        <v>290</v>
      </c>
      <c r="D45" s="25" t="s">
        <v>353</v>
      </c>
      <c r="E45" s="26">
        <v>1100</v>
      </c>
      <c r="F45" s="27" t="s">
        <v>310</v>
      </c>
    </row>
    <row r="46" s="1" customFormat="1" ht="40" customHeight="1" spans="1:6">
      <c r="A46" s="23">
        <v>40</v>
      </c>
      <c r="B46" s="24" t="s">
        <v>255</v>
      </c>
      <c r="C46" s="24" t="s">
        <v>290</v>
      </c>
      <c r="D46" s="25" t="s">
        <v>354</v>
      </c>
      <c r="E46" s="26">
        <v>1800</v>
      </c>
      <c r="F46" s="27" t="s">
        <v>310</v>
      </c>
    </row>
    <row r="47" s="1" customFormat="1" ht="40" customHeight="1" spans="1:6">
      <c r="A47" s="23">
        <v>41</v>
      </c>
      <c r="B47" s="24" t="s">
        <v>255</v>
      </c>
      <c r="C47" s="24" t="s">
        <v>355</v>
      </c>
      <c r="D47" s="25" t="s">
        <v>356</v>
      </c>
      <c r="E47" s="26">
        <v>1000</v>
      </c>
      <c r="F47" s="27" t="s">
        <v>310</v>
      </c>
    </row>
    <row r="48" s="1" customFormat="1" ht="40" customHeight="1" spans="1:6">
      <c r="A48" s="23">
        <v>42</v>
      </c>
      <c r="B48" s="24" t="s">
        <v>255</v>
      </c>
      <c r="C48" s="24" t="s">
        <v>290</v>
      </c>
      <c r="D48" s="25" t="s">
        <v>357</v>
      </c>
      <c r="E48" s="26">
        <v>15000</v>
      </c>
      <c r="F48" s="27" t="s">
        <v>310</v>
      </c>
    </row>
    <row r="49" s="1" customFormat="1" ht="40" customHeight="1" spans="1:6">
      <c r="A49" s="23">
        <v>43</v>
      </c>
      <c r="B49" s="24" t="s">
        <v>255</v>
      </c>
      <c r="C49" s="24" t="s">
        <v>358</v>
      </c>
      <c r="D49" s="25" t="s">
        <v>359</v>
      </c>
      <c r="E49" s="26">
        <v>1000</v>
      </c>
      <c r="F49" s="27" t="s">
        <v>310</v>
      </c>
    </row>
    <row r="50" s="1" customFormat="1" ht="40" customHeight="1" spans="1:6">
      <c r="A50" s="23">
        <v>44</v>
      </c>
      <c r="B50" s="24" t="s">
        <v>255</v>
      </c>
      <c r="C50" s="24" t="s">
        <v>290</v>
      </c>
      <c r="D50" s="25" t="s">
        <v>360</v>
      </c>
      <c r="E50" s="26">
        <v>4500</v>
      </c>
      <c r="F50" s="27" t="s">
        <v>310</v>
      </c>
    </row>
    <row r="51" s="1" customFormat="1" ht="40" customHeight="1" spans="1:6">
      <c r="A51" s="23">
        <v>45</v>
      </c>
      <c r="B51" s="24" t="s">
        <v>255</v>
      </c>
      <c r="C51" s="24" t="s">
        <v>361</v>
      </c>
      <c r="D51" s="25" t="s">
        <v>362</v>
      </c>
      <c r="E51" s="26">
        <v>2000</v>
      </c>
      <c r="F51" s="27" t="s">
        <v>310</v>
      </c>
    </row>
    <row r="52" s="1" customFormat="1" ht="40" customHeight="1" spans="1:6">
      <c r="A52" s="23">
        <v>46</v>
      </c>
      <c r="B52" s="24" t="s">
        <v>255</v>
      </c>
      <c r="C52" s="24" t="s">
        <v>290</v>
      </c>
      <c r="D52" s="25" t="s">
        <v>363</v>
      </c>
      <c r="E52" s="26">
        <v>8400</v>
      </c>
      <c r="F52" s="27" t="s">
        <v>310</v>
      </c>
    </row>
    <row r="53" s="1" customFormat="1" ht="40" customHeight="1" spans="1:6">
      <c r="A53" s="23">
        <v>47</v>
      </c>
      <c r="B53" s="24" t="s">
        <v>255</v>
      </c>
      <c r="C53" s="24" t="s">
        <v>290</v>
      </c>
      <c r="D53" s="25" t="s">
        <v>364</v>
      </c>
      <c r="E53" s="26">
        <v>1000</v>
      </c>
      <c r="F53" s="27" t="s">
        <v>310</v>
      </c>
    </row>
    <row r="54" s="1" customFormat="1" ht="40" customHeight="1" spans="1:6">
      <c r="A54" s="23">
        <v>48</v>
      </c>
      <c r="B54" s="24" t="s">
        <v>255</v>
      </c>
      <c r="C54" s="24" t="s">
        <v>290</v>
      </c>
      <c r="D54" s="25" t="s">
        <v>365</v>
      </c>
      <c r="E54" s="26">
        <v>5000</v>
      </c>
      <c r="F54" s="27" t="s">
        <v>310</v>
      </c>
    </row>
    <row r="55" s="1" customFormat="1" ht="40" customHeight="1" spans="1:6">
      <c r="A55" s="23">
        <v>49</v>
      </c>
      <c r="B55" s="24" t="s">
        <v>255</v>
      </c>
      <c r="C55" s="24" t="s">
        <v>290</v>
      </c>
      <c r="D55" s="25" t="s">
        <v>366</v>
      </c>
      <c r="E55" s="26">
        <v>1000</v>
      </c>
      <c r="F55" s="27" t="s">
        <v>310</v>
      </c>
    </row>
    <row r="56" s="1" customFormat="1" ht="40" customHeight="1" spans="1:6">
      <c r="A56" s="23">
        <v>50</v>
      </c>
      <c r="B56" s="24" t="s">
        <v>255</v>
      </c>
      <c r="C56" s="24" t="s">
        <v>290</v>
      </c>
      <c r="D56" s="25" t="s">
        <v>367</v>
      </c>
      <c r="E56" s="26">
        <v>3500</v>
      </c>
      <c r="F56" s="27" t="s">
        <v>310</v>
      </c>
    </row>
    <row r="57" s="1" customFormat="1" ht="40" customHeight="1" spans="1:6">
      <c r="A57" s="23">
        <v>51</v>
      </c>
      <c r="B57" s="24" t="s">
        <v>255</v>
      </c>
      <c r="C57" s="24" t="s">
        <v>368</v>
      </c>
      <c r="D57" s="25" t="s">
        <v>369</v>
      </c>
      <c r="E57" s="26">
        <v>1000</v>
      </c>
      <c r="F57" s="27" t="s">
        <v>310</v>
      </c>
    </row>
    <row r="58" s="1" customFormat="1" ht="40" customHeight="1" spans="1:6">
      <c r="A58" s="23"/>
      <c r="B58" s="29" t="s">
        <v>265</v>
      </c>
      <c r="C58" s="29"/>
      <c r="D58" s="31"/>
      <c r="E58" s="20">
        <f>SUM(E59:E91)</f>
        <v>199300</v>
      </c>
      <c r="F58" s="22"/>
    </row>
    <row r="59" s="1" customFormat="1" ht="40" customHeight="1" spans="1:6">
      <c r="A59" s="23">
        <v>1</v>
      </c>
      <c r="B59" s="24" t="s">
        <v>266</v>
      </c>
      <c r="C59" s="24" t="s">
        <v>262</v>
      </c>
      <c r="D59" s="25" t="s">
        <v>370</v>
      </c>
      <c r="E59" s="26">
        <v>1000</v>
      </c>
      <c r="F59" s="27" t="s">
        <v>310</v>
      </c>
    </row>
    <row r="60" s="1" customFormat="1" ht="40" customHeight="1" spans="1:6">
      <c r="A60" s="23">
        <v>2</v>
      </c>
      <c r="B60" s="24" t="s">
        <v>266</v>
      </c>
      <c r="C60" s="24" t="s">
        <v>262</v>
      </c>
      <c r="D60" s="25" t="s">
        <v>371</v>
      </c>
      <c r="E60" s="26">
        <v>3000</v>
      </c>
      <c r="F60" s="27" t="s">
        <v>310</v>
      </c>
    </row>
    <row r="61" s="1" customFormat="1" ht="40" customHeight="1" spans="1:6">
      <c r="A61" s="23">
        <v>3</v>
      </c>
      <c r="B61" s="24" t="s">
        <v>266</v>
      </c>
      <c r="C61" s="24" t="s">
        <v>270</v>
      </c>
      <c r="D61" s="25" t="s">
        <v>372</v>
      </c>
      <c r="E61" s="26">
        <v>1000</v>
      </c>
      <c r="F61" s="27" t="s">
        <v>310</v>
      </c>
    </row>
    <row r="62" s="1" customFormat="1" ht="40" customHeight="1" spans="1:6">
      <c r="A62" s="23">
        <v>4</v>
      </c>
      <c r="B62" s="24" t="s">
        <v>266</v>
      </c>
      <c r="C62" s="24" t="s">
        <v>262</v>
      </c>
      <c r="D62" s="25" t="s">
        <v>373</v>
      </c>
      <c r="E62" s="26">
        <v>20000</v>
      </c>
      <c r="F62" s="27" t="s">
        <v>310</v>
      </c>
    </row>
    <row r="63" s="1" customFormat="1" ht="40" customHeight="1" spans="1:6">
      <c r="A63" s="23">
        <v>5</v>
      </c>
      <c r="B63" s="24" t="s">
        <v>266</v>
      </c>
      <c r="C63" s="24" t="s">
        <v>262</v>
      </c>
      <c r="D63" s="25" t="s">
        <v>374</v>
      </c>
      <c r="E63" s="26">
        <v>1000</v>
      </c>
      <c r="F63" s="27" t="s">
        <v>310</v>
      </c>
    </row>
    <row r="64" s="1" customFormat="1" ht="40" customHeight="1" spans="1:6">
      <c r="A64" s="23">
        <v>6</v>
      </c>
      <c r="B64" s="24" t="s">
        <v>266</v>
      </c>
      <c r="C64" s="24" t="s">
        <v>262</v>
      </c>
      <c r="D64" s="25" t="s">
        <v>375</v>
      </c>
      <c r="E64" s="26">
        <v>1000</v>
      </c>
      <c r="F64" s="27" t="s">
        <v>310</v>
      </c>
    </row>
    <row r="65" s="1" customFormat="1" ht="40" customHeight="1" spans="1:6">
      <c r="A65" s="23">
        <v>7</v>
      </c>
      <c r="B65" s="24" t="s">
        <v>266</v>
      </c>
      <c r="C65" s="24" t="s">
        <v>262</v>
      </c>
      <c r="D65" s="25" t="s">
        <v>376</v>
      </c>
      <c r="E65" s="26">
        <v>10000</v>
      </c>
      <c r="F65" s="27" t="s">
        <v>310</v>
      </c>
    </row>
    <row r="66" s="1" customFormat="1" ht="40" customHeight="1" spans="1:6">
      <c r="A66" s="23">
        <v>8</v>
      </c>
      <c r="B66" s="24" t="s">
        <v>266</v>
      </c>
      <c r="C66" s="24" t="s">
        <v>270</v>
      </c>
      <c r="D66" s="25" t="s">
        <v>377</v>
      </c>
      <c r="E66" s="26">
        <v>1000</v>
      </c>
      <c r="F66" s="27" t="s">
        <v>310</v>
      </c>
    </row>
    <row r="67" s="1" customFormat="1" ht="40" customHeight="1" spans="1:6">
      <c r="A67" s="23">
        <v>9</v>
      </c>
      <c r="B67" s="24" t="s">
        <v>266</v>
      </c>
      <c r="C67" s="24" t="s">
        <v>270</v>
      </c>
      <c r="D67" s="25" t="s">
        <v>378</v>
      </c>
      <c r="E67" s="26">
        <v>2000</v>
      </c>
      <c r="F67" s="27" t="s">
        <v>310</v>
      </c>
    </row>
    <row r="68" s="1" customFormat="1" ht="40" customHeight="1" spans="1:6">
      <c r="A68" s="23">
        <v>10</v>
      </c>
      <c r="B68" s="24" t="s">
        <v>272</v>
      </c>
      <c r="C68" s="24" t="s">
        <v>275</v>
      </c>
      <c r="D68" s="25" t="s">
        <v>379</v>
      </c>
      <c r="E68" s="26">
        <v>13000</v>
      </c>
      <c r="F68" s="27" t="s">
        <v>310</v>
      </c>
    </row>
    <row r="69" s="1" customFormat="1" ht="40" customHeight="1" spans="1:6">
      <c r="A69" s="23">
        <v>11</v>
      </c>
      <c r="B69" s="24" t="s">
        <v>272</v>
      </c>
      <c r="C69" s="24" t="s">
        <v>275</v>
      </c>
      <c r="D69" s="25" t="s">
        <v>380</v>
      </c>
      <c r="E69" s="26">
        <v>8000</v>
      </c>
      <c r="F69" s="27" t="s">
        <v>310</v>
      </c>
    </row>
    <row r="70" s="1" customFormat="1" ht="40" customHeight="1" spans="1:6">
      <c r="A70" s="23">
        <v>12</v>
      </c>
      <c r="B70" s="24" t="s">
        <v>272</v>
      </c>
      <c r="C70" s="24" t="s">
        <v>381</v>
      </c>
      <c r="D70" s="25" t="s">
        <v>382</v>
      </c>
      <c r="E70" s="26">
        <v>1000</v>
      </c>
      <c r="F70" s="27" t="s">
        <v>310</v>
      </c>
    </row>
    <row r="71" s="1" customFormat="1" ht="40" customHeight="1" spans="1:6">
      <c r="A71" s="23">
        <v>13</v>
      </c>
      <c r="B71" s="24" t="s">
        <v>278</v>
      </c>
      <c r="C71" s="24" t="s">
        <v>383</v>
      </c>
      <c r="D71" s="25" t="s">
        <v>384</v>
      </c>
      <c r="E71" s="26">
        <v>1000</v>
      </c>
      <c r="F71" s="27" t="s">
        <v>310</v>
      </c>
    </row>
    <row r="72" s="1" customFormat="1" ht="40" customHeight="1" spans="1:6">
      <c r="A72" s="23">
        <v>14</v>
      </c>
      <c r="B72" s="24" t="s">
        <v>278</v>
      </c>
      <c r="C72" s="24" t="s">
        <v>385</v>
      </c>
      <c r="D72" s="25" t="s">
        <v>386</v>
      </c>
      <c r="E72" s="26">
        <v>1000</v>
      </c>
      <c r="F72" s="27" t="s">
        <v>310</v>
      </c>
    </row>
    <row r="73" s="1" customFormat="1" ht="40" customHeight="1" spans="1:6">
      <c r="A73" s="23">
        <v>15</v>
      </c>
      <c r="B73" s="24" t="s">
        <v>278</v>
      </c>
      <c r="C73" s="24" t="s">
        <v>385</v>
      </c>
      <c r="D73" s="25" t="s">
        <v>387</v>
      </c>
      <c r="E73" s="26">
        <v>25000</v>
      </c>
      <c r="F73" s="27" t="s">
        <v>310</v>
      </c>
    </row>
    <row r="74" s="1" customFormat="1" ht="40" customHeight="1" spans="1:6">
      <c r="A74" s="23">
        <v>16</v>
      </c>
      <c r="B74" s="24" t="s">
        <v>278</v>
      </c>
      <c r="C74" s="24" t="s">
        <v>349</v>
      </c>
      <c r="D74" s="25" t="s">
        <v>388</v>
      </c>
      <c r="E74" s="26">
        <v>10000</v>
      </c>
      <c r="F74" s="27" t="s">
        <v>310</v>
      </c>
    </row>
    <row r="75" s="1" customFormat="1" ht="40" customHeight="1" spans="1:6">
      <c r="A75" s="23">
        <v>17</v>
      </c>
      <c r="B75" s="24" t="s">
        <v>278</v>
      </c>
      <c r="C75" s="24" t="s">
        <v>389</v>
      </c>
      <c r="D75" s="25" t="s">
        <v>390</v>
      </c>
      <c r="E75" s="26">
        <v>2000</v>
      </c>
      <c r="F75" s="27" t="s">
        <v>310</v>
      </c>
    </row>
    <row r="76" s="1" customFormat="1" ht="40" customHeight="1" spans="1:6">
      <c r="A76" s="23">
        <v>18</v>
      </c>
      <c r="B76" s="24" t="s">
        <v>287</v>
      </c>
      <c r="C76" s="24" t="s">
        <v>391</v>
      </c>
      <c r="D76" s="25" t="s">
        <v>392</v>
      </c>
      <c r="E76" s="26">
        <v>1000</v>
      </c>
      <c r="F76" s="27" t="s">
        <v>310</v>
      </c>
    </row>
    <row r="77" s="1" customFormat="1" ht="40" customHeight="1" spans="1:6">
      <c r="A77" s="23">
        <v>19</v>
      </c>
      <c r="B77" s="24" t="s">
        <v>287</v>
      </c>
      <c r="C77" s="24" t="s">
        <v>393</v>
      </c>
      <c r="D77" s="25" t="s">
        <v>394</v>
      </c>
      <c r="E77" s="26">
        <v>1300</v>
      </c>
      <c r="F77" s="27" t="s">
        <v>310</v>
      </c>
    </row>
    <row r="78" s="1" customFormat="1" ht="40" customHeight="1" spans="1:6">
      <c r="A78" s="23">
        <v>20</v>
      </c>
      <c r="B78" s="24" t="s">
        <v>287</v>
      </c>
      <c r="C78" s="24" t="s">
        <v>395</v>
      </c>
      <c r="D78" s="25" t="s">
        <v>396</v>
      </c>
      <c r="E78" s="26">
        <v>1000</v>
      </c>
      <c r="F78" s="27" t="s">
        <v>310</v>
      </c>
    </row>
    <row r="79" s="1" customFormat="1" ht="40" customHeight="1" spans="1:6">
      <c r="A79" s="23">
        <v>21</v>
      </c>
      <c r="B79" s="24" t="s">
        <v>287</v>
      </c>
      <c r="C79" s="24" t="s">
        <v>397</v>
      </c>
      <c r="D79" s="25" t="s">
        <v>398</v>
      </c>
      <c r="E79" s="26">
        <v>5000</v>
      </c>
      <c r="F79" s="27" t="s">
        <v>310</v>
      </c>
    </row>
    <row r="80" s="1" customFormat="1" ht="40" customHeight="1" spans="1:6">
      <c r="A80" s="23">
        <v>22</v>
      </c>
      <c r="B80" s="24" t="s">
        <v>287</v>
      </c>
      <c r="C80" s="24" t="s">
        <v>290</v>
      </c>
      <c r="D80" s="25" t="s">
        <v>399</v>
      </c>
      <c r="E80" s="26">
        <v>1000</v>
      </c>
      <c r="F80" s="27" t="s">
        <v>310</v>
      </c>
    </row>
    <row r="81" s="1" customFormat="1" ht="40" customHeight="1" spans="1:6">
      <c r="A81" s="23">
        <v>23</v>
      </c>
      <c r="B81" s="24" t="s">
        <v>287</v>
      </c>
      <c r="C81" s="24" t="s">
        <v>290</v>
      </c>
      <c r="D81" s="25" t="s">
        <v>400</v>
      </c>
      <c r="E81" s="26">
        <v>1000</v>
      </c>
      <c r="F81" s="27" t="s">
        <v>310</v>
      </c>
    </row>
    <row r="82" s="1" customFormat="1" ht="40" customHeight="1" spans="1:6">
      <c r="A82" s="23">
        <v>24</v>
      </c>
      <c r="B82" s="24" t="s">
        <v>287</v>
      </c>
      <c r="C82" s="24" t="s">
        <v>290</v>
      </c>
      <c r="D82" s="25" t="s">
        <v>401</v>
      </c>
      <c r="E82" s="26">
        <v>15000</v>
      </c>
      <c r="F82" s="27" t="s">
        <v>310</v>
      </c>
    </row>
    <row r="83" s="1" customFormat="1" ht="40" customHeight="1" spans="1:6">
      <c r="A83" s="23">
        <v>25</v>
      </c>
      <c r="B83" s="24" t="s">
        <v>287</v>
      </c>
      <c r="C83" s="24" t="s">
        <v>290</v>
      </c>
      <c r="D83" s="25" t="s">
        <v>402</v>
      </c>
      <c r="E83" s="26">
        <v>2000</v>
      </c>
      <c r="F83" s="27" t="s">
        <v>310</v>
      </c>
    </row>
    <row r="84" s="1" customFormat="1" ht="40" customHeight="1" spans="1:6">
      <c r="A84" s="23">
        <v>26</v>
      </c>
      <c r="B84" s="24" t="s">
        <v>287</v>
      </c>
      <c r="C84" s="24" t="s">
        <v>290</v>
      </c>
      <c r="D84" s="25" t="s">
        <v>403</v>
      </c>
      <c r="E84" s="26">
        <v>25000</v>
      </c>
      <c r="F84" s="27" t="s">
        <v>310</v>
      </c>
    </row>
    <row r="85" s="1" customFormat="1" ht="40" customHeight="1" spans="1:6">
      <c r="A85" s="23">
        <v>27</v>
      </c>
      <c r="B85" s="24" t="s">
        <v>287</v>
      </c>
      <c r="C85" s="24" t="s">
        <v>290</v>
      </c>
      <c r="D85" s="25" t="s">
        <v>404</v>
      </c>
      <c r="E85" s="26">
        <v>1000</v>
      </c>
      <c r="F85" s="27" t="s">
        <v>310</v>
      </c>
    </row>
    <row r="86" s="1" customFormat="1" ht="40" customHeight="1" spans="1:6">
      <c r="A86" s="23">
        <v>28</v>
      </c>
      <c r="B86" s="24" t="s">
        <v>287</v>
      </c>
      <c r="C86" s="24" t="s">
        <v>290</v>
      </c>
      <c r="D86" s="25" t="s">
        <v>405</v>
      </c>
      <c r="E86" s="26">
        <v>5000</v>
      </c>
      <c r="F86" s="27" t="s">
        <v>310</v>
      </c>
    </row>
    <row r="87" s="1" customFormat="1" ht="40" customHeight="1" spans="1:6">
      <c r="A87" s="23">
        <v>29</v>
      </c>
      <c r="B87" s="24" t="s">
        <v>287</v>
      </c>
      <c r="C87" s="24" t="s">
        <v>290</v>
      </c>
      <c r="D87" s="25" t="s">
        <v>406</v>
      </c>
      <c r="E87" s="26">
        <v>18000</v>
      </c>
      <c r="F87" s="27" t="s">
        <v>310</v>
      </c>
    </row>
    <row r="88" s="1" customFormat="1" ht="40" customHeight="1" spans="1:6">
      <c r="A88" s="23">
        <v>30</v>
      </c>
      <c r="B88" s="24" t="s">
        <v>287</v>
      </c>
      <c r="C88" s="24" t="s">
        <v>290</v>
      </c>
      <c r="D88" s="25" t="s">
        <v>407</v>
      </c>
      <c r="E88" s="26">
        <v>10000</v>
      </c>
      <c r="F88" s="27" t="s">
        <v>310</v>
      </c>
    </row>
    <row r="89" s="1" customFormat="1" ht="40" customHeight="1" spans="1:6">
      <c r="A89" s="23">
        <v>31</v>
      </c>
      <c r="B89" s="24" t="s">
        <v>287</v>
      </c>
      <c r="C89" s="24" t="s">
        <v>290</v>
      </c>
      <c r="D89" s="25" t="s">
        <v>408</v>
      </c>
      <c r="E89" s="26">
        <v>1000</v>
      </c>
      <c r="F89" s="27" t="s">
        <v>310</v>
      </c>
    </row>
    <row r="90" s="1" customFormat="1" ht="40" customHeight="1" spans="1:6">
      <c r="A90" s="23">
        <v>32</v>
      </c>
      <c r="B90" s="24" t="s">
        <v>287</v>
      </c>
      <c r="C90" s="24" t="s">
        <v>290</v>
      </c>
      <c r="D90" s="25" t="s">
        <v>409</v>
      </c>
      <c r="E90" s="26">
        <v>1000</v>
      </c>
      <c r="F90" s="27" t="s">
        <v>310</v>
      </c>
    </row>
    <row r="91" s="1" customFormat="1" ht="40" customHeight="1" spans="1:6">
      <c r="A91" s="23">
        <v>33</v>
      </c>
      <c r="B91" s="24" t="s">
        <v>287</v>
      </c>
      <c r="C91" s="24" t="s">
        <v>290</v>
      </c>
      <c r="D91" s="25" t="s">
        <v>410</v>
      </c>
      <c r="E91" s="26">
        <v>10000</v>
      </c>
      <c r="F91" s="27" t="s">
        <v>310</v>
      </c>
    </row>
  </sheetData>
  <mergeCells count="6">
    <mergeCell ref="A2:F2"/>
    <mergeCell ref="A3:D3"/>
    <mergeCell ref="E3:F3"/>
    <mergeCell ref="A5:D5"/>
    <mergeCell ref="A6:D6"/>
    <mergeCell ref="B58:D58"/>
  </mergeCells>
  <printOptions horizontalCentered="1"/>
  <pageMargins left="0.550694444444444" right="0.550694444444444" top="0.511805555555556" bottom="0.590277777777778" header="0.393055555555556" footer="0.275"/>
  <pageSetup paperSize="8" scale="94" firstPageNumber="12" fitToHeight="0" orientation="landscape" useFirstPageNumber="1" horizontalDpi="600"/>
  <headerFooter>
    <oddFooter>&amp;C&amp;18— &amp;P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6"/>
  <sheetViews>
    <sheetView tabSelected="1" view="pageBreakPreview" zoomScaleNormal="55" zoomScaleSheetLayoutView="100" workbookViewId="0">
      <selection activeCell="A2" sqref="A2:P2"/>
    </sheetView>
  </sheetViews>
  <sheetFormatPr defaultColWidth="9" defaultRowHeight="20.25" outlineLevelCol="5"/>
  <cols>
    <col min="1" max="1" width="9" style="2"/>
    <col min="2" max="2" width="17.2666666666667" style="3" customWidth="1"/>
    <col min="3" max="3" width="48.175" style="4" customWidth="1"/>
    <col min="4" max="4" width="71.775" style="5" customWidth="1"/>
    <col min="5" max="5" width="20.2583333333333" style="6" customWidth="1"/>
    <col min="6" max="6" width="43.4" style="7" customWidth="1"/>
    <col min="10" max="10" width="14.375"/>
    <col min="14" max="14" width="9.875"/>
  </cols>
  <sheetData>
    <row r="1" ht="17" customHeight="1" spans="1:1">
      <c r="A1" s="8" t="s">
        <v>0</v>
      </c>
    </row>
    <row r="2" ht="24" customHeight="1" spans="1:6">
      <c r="A2" s="9" t="s">
        <v>411</v>
      </c>
      <c r="B2" s="9"/>
      <c r="C2" s="9"/>
      <c r="D2" s="9"/>
      <c r="E2" s="10"/>
      <c r="F2" s="9"/>
    </row>
    <row r="3" ht="18.75" spans="1:6">
      <c r="A3" s="11"/>
      <c r="B3" s="11"/>
      <c r="C3" s="11"/>
      <c r="D3" s="11"/>
      <c r="E3" s="12" t="s">
        <v>246</v>
      </c>
      <c r="F3" s="13"/>
    </row>
    <row r="4" ht="28" customHeight="1" spans="1:6">
      <c r="A4" s="14" t="s">
        <v>247</v>
      </c>
      <c r="B4" s="14" t="s">
        <v>248</v>
      </c>
      <c r="C4" s="15" t="s">
        <v>249</v>
      </c>
      <c r="D4" s="15" t="s">
        <v>250</v>
      </c>
      <c r="E4" s="16" t="s">
        <v>251</v>
      </c>
      <c r="F4" s="17" t="s">
        <v>252</v>
      </c>
    </row>
    <row r="5" s="1" customFormat="1" ht="25" customHeight="1" spans="1:6">
      <c r="A5" s="18" t="s">
        <v>253</v>
      </c>
      <c r="B5" s="18"/>
      <c r="C5" s="18"/>
      <c r="D5" s="19"/>
      <c r="E5" s="20">
        <f>E6+E19</f>
        <v>343000</v>
      </c>
      <c r="F5" s="21"/>
    </row>
    <row r="6" s="1" customFormat="1" ht="24" customHeight="1" spans="1:6">
      <c r="A6" s="18" t="s">
        <v>254</v>
      </c>
      <c r="B6" s="18"/>
      <c r="C6" s="18"/>
      <c r="D6" s="19"/>
      <c r="E6" s="20">
        <f>SUM(E7:E18)</f>
        <v>267308.08</v>
      </c>
      <c r="F6" s="22"/>
    </row>
    <row r="7" s="1" customFormat="1" ht="40" customHeight="1" spans="1:6">
      <c r="A7" s="23">
        <v>1</v>
      </c>
      <c r="B7" s="24" t="s">
        <v>255</v>
      </c>
      <c r="C7" s="24" t="s">
        <v>412</v>
      </c>
      <c r="D7" s="25" t="s">
        <v>413</v>
      </c>
      <c r="E7" s="26">
        <v>230500</v>
      </c>
      <c r="F7" s="27" t="s">
        <v>310</v>
      </c>
    </row>
    <row r="8" s="1" customFormat="1" ht="40" customHeight="1" spans="1:6">
      <c r="A8" s="23">
        <v>2</v>
      </c>
      <c r="B8" s="24" t="s">
        <v>255</v>
      </c>
      <c r="C8" s="24" t="s">
        <v>320</v>
      </c>
      <c r="D8" s="25" t="s">
        <v>321</v>
      </c>
      <c r="E8" s="26">
        <v>1100</v>
      </c>
      <c r="F8" s="27" t="s">
        <v>310</v>
      </c>
    </row>
    <row r="9" s="1" customFormat="1" ht="40" customHeight="1" spans="1:6">
      <c r="A9" s="23">
        <v>3</v>
      </c>
      <c r="B9" s="24" t="s">
        <v>255</v>
      </c>
      <c r="C9" s="24" t="s">
        <v>290</v>
      </c>
      <c r="D9" s="25" t="s">
        <v>323</v>
      </c>
      <c r="E9" s="26">
        <v>1800</v>
      </c>
      <c r="F9" s="27" t="s">
        <v>310</v>
      </c>
    </row>
    <row r="10" s="1" customFormat="1" ht="40" customHeight="1" spans="1:6">
      <c r="A10" s="23">
        <v>4</v>
      </c>
      <c r="B10" s="24" t="s">
        <v>255</v>
      </c>
      <c r="C10" s="24" t="s">
        <v>290</v>
      </c>
      <c r="D10" s="25" t="s">
        <v>327</v>
      </c>
      <c r="E10" s="26">
        <v>1300</v>
      </c>
      <c r="F10" s="27" t="s">
        <v>310</v>
      </c>
    </row>
    <row r="11" s="1" customFormat="1" ht="40" customHeight="1" spans="1:6">
      <c r="A11" s="23">
        <v>5</v>
      </c>
      <c r="B11" s="24" t="s">
        <v>255</v>
      </c>
      <c r="C11" s="24" t="s">
        <v>290</v>
      </c>
      <c r="D11" s="25" t="s">
        <v>332</v>
      </c>
      <c r="E11" s="26">
        <v>4500</v>
      </c>
      <c r="F11" s="27" t="s">
        <v>310</v>
      </c>
    </row>
    <row r="12" s="1" customFormat="1" ht="40" customHeight="1" spans="1:6">
      <c r="A12" s="23">
        <v>6</v>
      </c>
      <c r="B12" s="24" t="s">
        <v>255</v>
      </c>
      <c r="C12" s="24" t="s">
        <v>290</v>
      </c>
      <c r="D12" s="25" t="s">
        <v>339</v>
      </c>
      <c r="E12" s="26">
        <v>1500</v>
      </c>
      <c r="F12" s="27" t="s">
        <v>310</v>
      </c>
    </row>
    <row r="13" s="1" customFormat="1" ht="40" customHeight="1" spans="1:6">
      <c r="A13" s="23">
        <v>7</v>
      </c>
      <c r="B13" s="24" t="s">
        <v>255</v>
      </c>
      <c r="C13" s="24" t="s">
        <v>290</v>
      </c>
      <c r="D13" s="25" t="s">
        <v>342</v>
      </c>
      <c r="E13" s="26">
        <v>1200</v>
      </c>
      <c r="F13" s="27" t="s">
        <v>310</v>
      </c>
    </row>
    <row r="14" s="1" customFormat="1" ht="40" customHeight="1" spans="1:6">
      <c r="A14" s="23">
        <v>8</v>
      </c>
      <c r="B14" s="24" t="s">
        <v>255</v>
      </c>
      <c r="C14" s="24" t="s">
        <v>349</v>
      </c>
      <c r="D14" s="25" t="s">
        <v>350</v>
      </c>
      <c r="E14" s="26">
        <v>14000</v>
      </c>
      <c r="F14" s="27" t="s">
        <v>310</v>
      </c>
    </row>
    <row r="15" s="1" customFormat="1" ht="40" customHeight="1" spans="1:6">
      <c r="A15" s="23">
        <v>9</v>
      </c>
      <c r="B15" s="24" t="s">
        <v>255</v>
      </c>
      <c r="C15" s="24" t="s">
        <v>414</v>
      </c>
      <c r="D15" s="25" t="s">
        <v>415</v>
      </c>
      <c r="E15" s="26">
        <v>8000</v>
      </c>
      <c r="F15" s="27" t="s">
        <v>416</v>
      </c>
    </row>
    <row r="16" s="1" customFormat="1" ht="40" customHeight="1" spans="1:6">
      <c r="A16" s="23">
        <v>10</v>
      </c>
      <c r="B16" s="24" t="s">
        <v>255</v>
      </c>
      <c r="C16" s="24" t="s">
        <v>259</v>
      </c>
      <c r="D16" s="25" t="s">
        <v>304</v>
      </c>
      <c r="E16" s="26">
        <v>1069.58</v>
      </c>
      <c r="F16" s="27" t="s">
        <v>416</v>
      </c>
    </row>
    <row r="17" s="1" customFormat="1" ht="40" customHeight="1" spans="1:6">
      <c r="A17" s="23">
        <v>11</v>
      </c>
      <c r="B17" s="24" t="s">
        <v>255</v>
      </c>
      <c r="C17" s="24" t="s">
        <v>259</v>
      </c>
      <c r="D17" s="25" t="s">
        <v>417</v>
      </c>
      <c r="E17" s="26">
        <v>500</v>
      </c>
      <c r="F17" s="27" t="s">
        <v>416</v>
      </c>
    </row>
    <row r="18" s="1" customFormat="1" ht="40" customHeight="1" spans="1:6">
      <c r="A18" s="23">
        <v>12</v>
      </c>
      <c r="B18" s="24" t="s">
        <v>255</v>
      </c>
      <c r="C18" s="24" t="s">
        <v>418</v>
      </c>
      <c r="D18" s="25" t="s">
        <v>419</v>
      </c>
      <c r="E18" s="26">
        <v>1838.5</v>
      </c>
      <c r="F18" s="27" t="s">
        <v>416</v>
      </c>
    </row>
    <row r="19" s="1" customFormat="1" ht="30" customHeight="1" spans="1:6">
      <c r="A19" s="28" t="s">
        <v>265</v>
      </c>
      <c r="B19" s="29"/>
      <c r="C19" s="29"/>
      <c r="D19" s="30"/>
      <c r="E19" s="20">
        <f>SUM(E20:E36)</f>
        <v>75691.92</v>
      </c>
      <c r="F19" s="22"/>
    </row>
    <row r="20" s="1" customFormat="1" ht="40" customHeight="1" spans="1:6">
      <c r="A20" s="23">
        <v>1</v>
      </c>
      <c r="B20" s="24" t="s">
        <v>266</v>
      </c>
      <c r="C20" s="24" t="s">
        <v>358</v>
      </c>
      <c r="D20" s="25" t="s">
        <v>420</v>
      </c>
      <c r="E20" s="26">
        <v>1000</v>
      </c>
      <c r="F20" s="27" t="s">
        <v>310</v>
      </c>
    </row>
    <row r="21" s="1" customFormat="1" ht="40" customHeight="1" spans="1:6">
      <c r="A21" s="23">
        <v>2</v>
      </c>
      <c r="B21" s="24" t="s">
        <v>266</v>
      </c>
      <c r="C21" s="24" t="s">
        <v>270</v>
      </c>
      <c r="D21" s="25" t="s">
        <v>421</v>
      </c>
      <c r="E21" s="26">
        <v>1000</v>
      </c>
      <c r="F21" s="27" t="s">
        <v>310</v>
      </c>
    </row>
    <row r="22" s="1" customFormat="1" ht="40" customHeight="1" spans="1:6">
      <c r="A22" s="23">
        <v>3</v>
      </c>
      <c r="B22" s="24" t="s">
        <v>266</v>
      </c>
      <c r="C22" s="24" t="s">
        <v>270</v>
      </c>
      <c r="D22" s="25" t="s">
        <v>378</v>
      </c>
      <c r="E22" s="26">
        <v>3000</v>
      </c>
      <c r="F22" s="27" t="s">
        <v>310</v>
      </c>
    </row>
    <row r="23" s="1" customFormat="1" ht="40" customHeight="1" spans="1:6">
      <c r="A23" s="23">
        <v>4</v>
      </c>
      <c r="B23" s="24" t="s">
        <v>266</v>
      </c>
      <c r="C23" s="24" t="s">
        <v>270</v>
      </c>
      <c r="D23" s="25" t="s">
        <v>422</v>
      </c>
      <c r="E23" s="26">
        <v>1000</v>
      </c>
      <c r="F23" s="27" t="s">
        <v>310</v>
      </c>
    </row>
    <row r="24" s="1" customFormat="1" ht="40" customHeight="1" spans="1:6">
      <c r="A24" s="23">
        <v>5</v>
      </c>
      <c r="B24" s="24" t="s">
        <v>278</v>
      </c>
      <c r="C24" s="24" t="s">
        <v>383</v>
      </c>
      <c r="D24" s="25" t="s">
        <v>384</v>
      </c>
      <c r="E24" s="26">
        <v>1000</v>
      </c>
      <c r="F24" s="27" t="s">
        <v>310</v>
      </c>
    </row>
    <row r="25" s="1" customFormat="1" ht="40" customHeight="1" spans="1:6">
      <c r="A25" s="23">
        <v>6</v>
      </c>
      <c r="B25" s="24" t="s">
        <v>278</v>
      </c>
      <c r="C25" s="24" t="s">
        <v>385</v>
      </c>
      <c r="D25" s="25" t="s">
        <v>387</v>
      </c>
      <c r="E25" s="26">
        <v>30000</v>
      </c>
      <c r="F25" s="27" t="s">
        <v>310</v>
      </c>
    </row>
    <row r="26" s="1" customFormat="1" ht="40" customHeight="1" spans="1:6">
      <c r="A26" s="23">
        <v>7</v>
      </c>
      <c r="B26" s="24" t="s">
        <v>278</v>
      </c>
      <c r="C26" s="24" t="s">
        <v>349</v>
      </c>
      <c r="D26" s="25" t="s">
        <v>388</v>
      </c>
      <c r="E26" s="26">
        <v>10000</v>
      </c>
      <c r="F26" s="27" t="s">
        <v>310</v>
      </c>
    </row>
    <row r="27" s="1" customFormat="1" ht="40" customHeight="1" spans="1:6">
      <c r="A27" s="23">
        <v>8</v>
      </c>
      <c r="B27" s="24" t="s">
        <v>278</v>
      </c>
      <c r="C27" s="24" t="s">
        <v>282</v>
      </c>
      <c r="D27" s="25" t="s">
        <v>283</v>
      </c>
      <c r="E27" s="26">
        <v>691.92</v>
      </c>
      <c r="F27" s="27" t="s">
        <v>416</v>
      </c>
    </row>
    <row r="28" s="1" customFormat="1" ht="40" customHeight="1" spans="1:6">
      <c r="A28" s="23">
        <v>9</v>
      </c>
      <c r="B28" s="24" t="s">
        <v>287</v>
      </c>
      <c r="C28" s="24" t="s">
        <v>393</v>
      </c>
      <c r="D28" s="25" t="s">
        <v>394</v>
      </c>
      <c r="E28" s="26">
        <v>3700</v>
      </c>
      <c r="F28" s="27" t="s">
        <v>310</v>
      </c>
    </row>
    <row r="29" s="1" customFormat="1" ht="40" customHeight="1" spans="1:6">
      <c r="A29" s="23">
        <v>10</v>
      </c>
      <c r="B29" s="24" t="s">
        <v>287</v>
      </c>
      <c r="C29" s="24" t="s">
        <v>395</v>
      </c>
      <c r="D29" s="25" t="s">
        <v>396</v>
      </c>
      <c r="E29" s="26">
        <v>1000</v>
      </c>
      <c r="F29" s="27" t="s">
        <v>310</v>
      </c>
    </row>
    <row r="30" s="1" customFormat="1" ht="40" customHeight="1" spans="1:6">
      <c r="A30" s="23">
        <v>11</v>
      </c>
      <c r="B30" s="24" t="s">
        <v>287</v>
      </c>
      <c r="C30" s="24" t="s">
        <v>397</v>
      </c>
      <c r="D30" s="25" t="s">
        <v>398</v>
      </c>
      <c r="E30" s="26">
        <v>5000</v>
      </c>
      <c r="F30" s="27" t="s">
        <v>310</v>
      </c>
    </row>
    <row r="31" s="1" customFormat="1" ht="40" customHeight="1" spans="1:6">
      <c r="A31" s="23">
        <v>12</v>
      </c>
      <c r="B31" s="24" t="s">
        <v>287</v>
      </c>
      <c r="C31" s="24" t="s">
        <v>290</v>
      </c>
      <c r="D31" s="25" t="s">
        <v>399</v>
      </c>
      <c r="E31" s="26">
        <v>2700</v>
      </c>
      <c r="F31" s="27" t="s">
        <v>310</v>
      </c>
    </row>
    <row r="32" s="1" customFormat="1" ht="40" customHeight="1" spans="1:6">
      <c r="A32" s="23">
        <v>13</v>
      </c>
      <c r="B32" s="24" t="s">
        <v>287</v>
      </c>
      <c r="C32" s="24" t="s">
        <v>290</v>
      </c>
      <c r="D32" s="25" t="s">
        <v>402</v>
      </c>
      <c r="E32" s="26">
        <v>3000</v>
      </c>
      <c r="F32" s="27" t="s">
        <v>310</v>
      </c>
    </row>
    <row r="33" s="1" customFormat="1" ht="49" customHeight="1" spans="1:6">
      <c r="A33" s="23">
        <v>14</v>
      </c>
      <c r="B33" s="24" t="s">
        <v>287</v>
      </c>
      <c r="C33" s="24" t="s">
        <v>290</v>
      </c>
      <c r="D33" s="25" t="s">
        <v>405</v>
      </c>
      <c r="E33" s="26">
        <v>8700</v>
      </c>
      <c r="F33" s="27" t="s">
        <v>310</v>
      </c>
    </row>
    <row r="34" s="1" customFormat="1" ht="40" customHeight="1" spans="1:6">
      <c r="A34" s="23">
        <v>15</v>
      </c>
      <c r="B34" s="24" t="s">
        <v>287</v>
      </c>
      <c r="C34" s="24" t="s">
        <v>290</v>
      </c>
      <c r="D34" s="25" t="s">
        <v>409</v>
      </c>
      <c r="E34" s="26">
        <v>2000</v>
      </c>
      <c r="F34" s="27" t="s">
        <v>310</v>
      </c>
    </row>
    <row r="35" s="1" customFormat="1" ht="49" customHeight="1" spans="1:6">
      <c r="A35" s="23">
        <v>16</v>
      </c>
      <c r="B35" s="24" t="s">
        <v>287</v>
      </c>
      <c r="C35" s="24" t="s">
        <v>290</v>
      </c>
      <c r="D35" s="25" t="s">
        <v>423</v>
      </c>
      <c r="E35" s="26">
        <v>1000</v>
      </c>
      <c r="F35" s="27" t="s">
        <v>310</v>
      </c>
    </row>
    <row r="36" s="1" customFormat="1" ht="40" customHeight="1" spans="1:6">
      <c r="A36" s="23">
        <v>17</v>
      </c>
      <c r="B36" s="24" t="s">
        <v>287</v>
      </c>
      <c r="C36" s="24" t="s">
        <v>288</v>
      </c>
      <c r="D36" s="25" t="s">
        <v>289</v>
      </c>
      <c r="E36" s="26">
        <v>900</v>
      </c>
      <c r="F36" s="27" t="s">
        <v>416</v>
      </c>
    </row>
  </sheetData>
  <mergeCells count="6">
    <mergeCell ref="A2:F2"/>
    <mergeCell ref="A3:D3"/>
    <mergeCell ref="E3:F3"/>
    <mergeCell ref="A5:D5"/>
    <mergeCell ref="A6:D6"/>
    <mergeCell ref="A19:D19"/>
  </mergeCells>
  <printOptions horizontalCentered="1"/>
  <pageMargins left="0.550694444444444" right="0.550694444444444" top="0.511805555555556" bottom="0.590277777777778" header="0.393055555555556" footer="0.275"/>
  <pageSetup paperSize="8" scale="95" firstPageNumber="17" fitToHeight="0" orientation="landscape" useFirstPageNumber="1" horizontalDpi="600"/>
  <headerFooter>
    <oddFooter>&amp;C&amp;18— &amp;P —</oddFooter>
  </headerFooter>
</worksheet>
</file>

<file path=docProps/app.xml><?xml version="1.0" encoding="utf-8"?>
<Properties xmlns="http://schemas.openxmlformats.org/officeDocument/2006/extended-properties" xmlns:vt="http://schemas.openxmlformats.org/officeDocument/2006/docPropsVTypes">
  <Company>三亚市直属党政机关单位</Company>
  <Application>WPS 表格</Application>
  <HeadingPairs>
    <vt:vector size="2" baseType="variant">
      <vt:variant>
        <vt:lpstr>工作表</vt:lpstr>
      </vt:variant>
      <vt:variant>
        <vt:i4>8</vt:i4>
      </vt:variant>
    </vt:vector>
  </HeadingPairs>
  <TitlesOfParts>
    <vt:vector size="8" baseType="lpstr">
      <vt:lpstr>1.2026年三亚市一般公共预算收支表   (2)</vt:lpstr>
      <vt:lpstr>2.2026年三亚市政府性基金预算收支表  (2)</vt:lpstr>
      <vt:lpstr>3.2026年市本级一般公共预算  (2)</vt:lpstr>
      <vt:lpstr>4.2026年市本级政府性基金预算  (2)</vt:lpstr>
      <vt:lpstr>5.提前批一般债</vt:lpstr>
      <vt:lpstr>6.第二批一般债</vt:lpstr>
      <vt:lpstr>7.提前批专项债</vt:lpstr>
      <vt:lpstr>8.第二批专项债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王晟楠</dc:creator>
  <cp:lastModifiedBy>王晟楠</cp:lastModifiedBy>
  <dcterms:created xsi:type="dcterms:W3CDTF">2026-07-13T09:48:00Z</dcterms:created>
  <dcterms:modified xsi:type="dcterms:W3CDTF">2026-09-10T01:11:48Z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ies>
</file>